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1400" windowHeight="5895"/>
  </bookViews>
  <sheets>
    <sheet name="TDSheet" sheetId="1" r:id="rId1"/>
  </sheets>
  <calcPr calcId="125725" refMode="R1C1"/>
</workbook>
</file>

<file path=xl/calcChain.xml><?xml version="1.0" encoding="utf-8"?>
<calcChain xmlns="http://schemas.openxmlformats.org/spreadsheetml/2006/main">
  <c r="V1437" i="1"/>
  <c r="U1437"/>
  <c r="V1436"/>
  <c r="U1436"/>
  <c r="V1435"/>
  <c r="U1435"/>
  <c r="V1434"/>
  <c r="U1434"/>
  <c r="V1433"/>
  <c r="U1433"/>
  <c r="V1432"/>
  <c r="U1432"/>
  <c r="V1431"/>
  <c r="U1431"/>
  <c r="V1430"/>
  <c r="U1430"/>
  <c r="V1429"/>
  <c r="U1429"/>
  <c r="V1428"/>
  <c r="U1428"/>
  <c r="V1427"/>
  <c r="U1427"/>
  <c r="V1426"/>
  <c r="U1426"/>
  <c r="V1425"/>
  <c r="U1425"/>
  <c r="V1424"/>
  <c r="U1424"/>
  <c r="V1423"/>
  <c r="U1423"/>
  <c r="V1422"/>
  <c r="U1422"/>
  <c r="V1421"/>
  <c r="U1421"/>
  <c r="V1420"/>
  <c r="U1420"/>
  <c r="V1419"/>
  <c r="U1419"/>
  <c r="V1418"/>
  <c r="U1418"/>
  <c r="V1417"/>
  <c r="U1417"/>
  <c r="V1416"/>
  <c r="U1416"/>
  <c r="U1415"/>
  <c r="U1414"/>
  <c r="V1413"/>
  <c r="U1413"/>
  <c r="V1412"/>
  <c r="U1412"/>
  <c r="V1411"/>
  <c r="U1411"/>
  <c r="V1410"/>
  <c r="U1410"/>
  <c r="V1409"/>
  <c r="U1409"/>
  <c r="V1408"/>
  <c r="U1408"/>
  <c r="V1407"/>
  <c r="U1407"/>
  <c r="U1406"/>
  <c r="V1405"/>
  <c r="U1405"/>
  <c r="V1404"/>
  <c r="U1404"/>
  <c r="V1403"/>
  <c r="U1403"/>
  <c r="V1402"/>
  <c r="U1402"/>
  <c r="V1401"/>
  <c r="U1401"/>
  <c r="V1400"/>
  <c r="U1400"/>
  <c r="V1399"/>
  <c r="U1399"/>
  <c r="V1398"/>
  <c r="U1398"/>
  <c r="V1397"/>
  <c r="U1397"/>
  <c r="V1396"/>
  <c r="U1396"/>
  <c r="V1395"/>
  <c r="U1395"/>
  <c r="V1394"/>
  <c r="U1394"/>
  <c r="V1393"/>
  <c r="U1393"/>
  <c r="V1392"/>
  <c r="U1392"/>
  <c r="V1391"/>
  <c r="U1391"/>
  <c r="V1390"/>
  <c r="U1390"/>
  <c r="V1389"/>
  <c r="U1389"/>
  <c r="V1388"/>
  <c r="U1388"/>
  <c r="V1387"/>
  <c r="U1387"/>
  <c r="V1386"/>
  <c r="U1386"/>
  <c r="V1385"/>
  <c r="U1385"/>
  <c r="V1384"/>
  <c r="U1384"/>
  <c r="V1383"/>
  <c r="U1383"/>
  <c r="V1382"/>
  <c r="U1382"/>
  <c r="V1381"/>
  <c r="U1381"/>
  <c r="V1380"/>
  <c r="U1380"/>
  <c r="V1379"/>
  <c r="U1379"/>
  <c r="V1378"/>
  <c r="U1378"/>
  <c r="V1377"/>
  <c r="U1377"/>
  <c r="V1376"/>
  <c r="U1376"/>
  <c r="V1375"/>
  <c r="U1375"/>
  <c r="V1374"/>
  <c r="U1374"/>
  <c r="V1373"/>
  <c r="U1373"/>
  <c r="V1372"/>
  <c r="U1372"/>
  <c r="V1371"/>
  <c r="U1371"/>
  <c r="V1370"/>
  <c r="U1370"/>
  <c r="V1369"/>
  <c r="U1369"/>
  <c r="V1368"/>
  <c r="U1368"/>
  <c r="V1367"/>
  <c r="U1367"/>
  <c r="V1366"/>
  <c r="U1366"/>
  <c r="V1365"/>
  <c r="U1365"/>
  <c r="V1364"/>
  <c r="U1364"/>
  <c r="V1363"/>
  <c r="U1363"/>
  <c r="V1362"/>
  <c r="U1362"/>
  <c r="V1361"/>
  <c r="U1361"/>
  <c r="V1360"/>
  <c r="U1360"/>
  <c r="V1359"/>
  <c r="U1359"/>
  <c r="V1358"/>
  <c r="U1358"/>
  <c r="V1357"/>
  <c r="U1357"/>
  <c r="V1356"/>
  <c r="U1356"/>
  <c r="V1355"/>
  <c r="U1355"/>
  <c r="V1354"/>
  <c r="U1354"/>
  <c r="V1353"/>
  <c r="U1353"/>
  <c r="V1351"/>
  <c r="U1351"/>
  <c r="V1350"/>
  <c r="V1349"/>
  <c r="U1349"/>
  <c r="V1348"/>
  <c r="V1347"/>
  <c r="U1347"/>
  <c r="V1346"/>
  <c r="U1346"/>
  <c r="V1345"/>
  <c r="U1345"/>
  <c r="V1344"/>
  <c r="U1344"/>
  <c r="V1343"/>
  <c r="U1343"/>
  <c r="U1342"/>
  <c r="V1341"/>
  <c r="U1341"/>
  <c r="U1340"/>
  <c r="V1339"/>
  <c r="U1339"/>
  <c r="V1338"/>
  <c r="U1338"/>
  <c r="V1337"/>
  <c r="U1337"/>
  <c r="V1336"/>
  <c r="U1336"/>
  <c r="V1335"/>
  <c r="U1335"/>
  <c r="V1334"/>
  <c r="U1334"/>
  <c r="V1333"/>
  <c r="U1333"/>
  <c r="V1332"/>
  <c r="U1332"/>
  <c r="V1331"/>
  <c r="U1331"/>
  <c r="V1330"/>
  <c r="U1330"/>
  <c r="V1329"/>
  <c r="U1329"/>
  <c r="V1328"/>
  <c r="U1328"/>
  <c r="V1327"/>
  <c r="U1327"/>
  <c r="V1326"/>
  <c r="U1326"/>
  <c r="V1325"/>
  <c r="U1325"/>
  <c r="V1324"/>
  <c r="U1324"/>
  <c r="V1323"/>
  <c r="U1323"/>
  <c r="V1322"/>
  <c r="U1322"/>
  <c r="V1321"/>
  <c r="U1321"/>
  <c r="V1320"/>
  <c r="U1320"/>
  <c r="V1319"/>
  <c r="U1319"/>
  <c r="V1318"/>
  <c r="U1318"/>
  <c r="V1317"/>
  <c r="U1317"/>
  <c r="V1316"/>
  <c r="U1316"/>
  <c r="V1315"/>
  <c r="U1315"/>
  <c r="V1314"/>
  <c r="U1314"/>
  <c r="V1313"/>
  <c r="V1312"/>
  <c r="U1312"/>
  <c r="V1311"/>
  <c r="U1311"/>
  <c r="V1310"/>
  <c r="U1310"/>
  <c r="V1309"/>
  <c r="U1309"/>
  <c r="V1308"/>
  <c r="U1308"/>
  <c r="V1307"/>
  <c r="U1307"/>
  <c r="V1306"/>
  <c r="U1306"/>
  <c r="V1305"/>
  <c r="U1305"/>
  <c r="V1304"/>
  <c r="U1304"/>
  <c r="V1303"/>
  <c r="U1303"/>
  <c r="V1302"/>
  <c r="U1302"/>
  <c r="V1301"/>
  <c r="U1301"/>
  <c r="V1300"/>
  <c r="U1300"/>
  <c r="V1299"/>
  <c r="U1299"/>
  <c r="U1298"/>
  <c r="V1297"/>
  <c r="U1297"/>
  <c r="V1296"/>
  <c r="U1296"/>
  <c r="V1295"/>
  <c r="U1295"/>
  <c r="V1294"/>
  <c r="U1294"/>
  <c r="U1293"/>
  <c r="V1292"/>
  <c r="U1292"/>
  <c r="V1291"/>
  <c r="U1291"/>
  <c r="V1290"/>
  <c r="U1290"/>
  <c r="V1289"/>
  <c r="U1289"/>
  <c r="V1288"/>
  <c r="U1288"/>
  <c r="V1287"/>
  <c r="U1287"/>
  <c r="V1286"/>
  <c r="U1286"/>
  <c r="V1285"/>
  <c r="U1285"/>
  <c r="V1284"/>
  <c r="U1284"/>
  <c r="V1283"/>
  <c r="U1283"/>
  <c r="V1282"/>
  <c r="U1282"/>
  <c r="V1281"/>
  <c r="U1281"/>
  <c r="V1280"/>
  <c r="U1280"/>
  <c r="V1279"/>
  <c r="U1279"/>
  <c r="V1278"/>
  <c r="U1278"/>
  <c r="V1277"/>
  <c r="U1277"/>
  <c r="V1276"/>
  <c r="V1275"/>
  <c r="U1275"/>
  <c r="V1274"/>
  <c r="U1274"/>
  <c r="V1273"/>
  <c r="U1273"/>
  <c r="V1272"/>
  <c r="U1272"/>
  <c r="V1271"/>
  <c r="U1271"/>
  <c r="V1270"/>
  <c r="U1270"/>
  <c r="U1269"/>
  <c r="V1268"/>
  <c r="U1268"/>
  <c r="U1267"/>
  <c r="V1266"/>
  <c r="U1266"/>
  <c r="V1265"/>
  <c r="U1265"/>
  <c r="V1264"/>
  <c r="U1264"/>
  <c r="V1263"/>
  <c r="U1263"/>
  <c r="V1262"/>
  <c r="U1262"/>
  <c r="V1261"/>
  <c r="U1261"/>
  <c r="V1260"/>
  <c r="U1260"/>
  <c r="V1259"/>
  <c r="U1259"/>
  <c r="V1258"/>
  <c r="U1258"/>
  <c r="V1257"/>
  <c r="U1257"/>
  <c r="V1256"/>
  <c r="U1256"/>
  <c r="V1255"/>
  <c r="U1255"/>
  <c r="V1254"/>
  <c r="U1254"/>
  <c r="V1253"/>
  <c r="U1253"/>
  <c r="V1252"/>
  <c r="U1252"/>
  <c r="V1251"/>
  <c r="U1251"/>
  <c r="V1250"/>
  <c r="U1250"/>
  <c r="V1249"/>
  <c r="U1249"/>
  <c r="V1248"/>
  <c r="U1248"/>
  <c r="V1247"/>
  <c r="U1247"/>
  <c r="V1246"/>
  <c r="U1246"/>
  <c r="V1245"/>
  <c r="U1245"/>
  <c r="V1244"/>
  <c r="U1244"/>
  <c r="V1243"/>
  <c r="U1243"/>
  <c r="V1242"/>
  <c r="U1242"/>
  <c r="V1241"/>
  <c r="U1241"/>
  <c r="V1240"/>
  <c r="U1240"/>
  <c r="V1239"/>
  <c r="U1239"/>
  <c r="V1238"/>
  <c r="U1238"/>
  <c r="V1237"/>
  <c r="U1237"/>
  <c r="V1236"/>
  <c r="U1236"/>
  <c r="V1235"/>
  <c r="U1235"/>
  <c r="V1234"/>
  <c r="U1234"/>
  <c r="V1233"/>
  <c r="U1233"/>
  <c r="V1232"/>
  <c r="U1232"/>
  <c r="V1231"/>
  <c r="U1231"/>
  <c r="V1230"/>
  <c r="U1230"/>
  <c r="V1229"/>
  <c r="U1229"/>
  <c r="V1228"/>
  <c r="U1228"/>
  <c r="U1227"/>
  <c r="V1226"/>
  <c r="U1226"/>
  <c r="V1225"/>
  <c r="U1225"/>
  <c r="V1224"/>
  <c r="U1224"/>
  <c r="V1223"/>
  <c r="U1223"/>
  <c r="V1222"/>
  <c r="U1222"/>
  <c r="V1221"/>
  <c r="U1221"/>
  <c r="V1220"/>
  <c r="U1220"/>
  <c r="V1219"/>
  <c r="U1219"/>
  <c r="V1218"/>
  <c r="U1218"/>
  <c r="V1217"/>
  <c r="U1217"/>
  <c r="V1215"/>
  <c r="U1215"/>
  <c r="V1214"/>
  <c r="U1214"/>
  <c r="V1213"/>
  <c r="U1213"/>
  <c r="V1212"/>
  <c r="U1212"/>
  <c r="V1211"/>
  <c r="U1211"/>
  <c r="V1210"/>
  <c r="U1210"/>
  <c r="V1209"/>
  <c r="U1209"/>
  <c r="V1208"/>
  <c r="U1208"/>
  <c r="V1207"/>
  <c r="U1207"/>
  <c r="V1206"/>
  <c r="U1206"/>
  <c r="V1205"/>
  <c r="U1205"/>
  <c r="V1204"/>
  <c r="U1204"/>
  <c r="V1203"/>
  <c r="U1203"/>
  <c r="V1202"/>
  <c r="U1202"/>
  <c r="V1201"/>
  <c r="U1201"/>
  <c r="V1200"/>
  <c r="U1200"/>
  <c r="V1199"/>
  <c r="U1199"/>
  <c r="V1198"/>
  <c r="U1198"/>
  <c r="V1197"/>
  <c r="U1197"/>
  <c r="V1196"/>
  <c r="U1196"/>
  <c r="V1195"/>
  <c r="U1195"/>
  <c r="V1194"/>
  <c r="U1194"/>
  <c r="V1193"/>
  <c r="U1193"/>
  <c r="V1192"/>
  <c r="U1192"/>
  <c r="V1191"/>
  <c r="U1191"/>
  <c r="V1190"/>
  <c r="U1190"/>
  <c r="V1189"/>
  <c r="U1189"/>
  <c r="V1188"/>
  <c r="U1188"/>
  <c r="V1187"/>
  <c r="U1187"/>
  <c r="V1186"/>
  <c r="U1186"/>
  <c r="V1185"/>
  <c r="U1185"/>
  <c r="V1184"/>
  <c r="U1184"/>
  <c r="V1183"/>
  <c r="U1183"/>
  <c r="V1182"/>
  <c r="U1182"/>
  <c r="V1181"/>
  <c r="U1181"/>
  <c r="V1180"/>
  <c r="U1180"/>
  <c r="V1179"/>
  <c r="U1179"/>
  <c r="V1178"/>
  <c r="U1178"/>
  <c r="V1177"/>
  <c r="U1177"/>
  <c r="V1176"/>
  <c r="U1176"/>
  <c r="V1175"/>
  <c r="U1175"/>
  <c r="V1174"/>
  <c r="U1174"/>
  <c r="V1173"/>
  <c r="U1173"/>
  <c r="V1172"/>
  <c r="U1172"/>
  <c r="V1171"/>
  <c r="U1171"/>
  <c r="V1170"/>
  <c r="U1170"/>
  <c r="V1169"/>
  <c r="U1169"/>
  <c r="V1168"/>
  <c r="U1168"/>
  <c r="V1167"/>
  <c r="U1167"/>
  <c r="V1166"/>
  <c r="U1166"/>
  <c r="V1165"/>
  <c r="U1165"/>
  <c r="V1164"/>
  <c r="U1164"/>
  <c r="V1163"/>
  <c r="U1163"/>
  <c r="V1162"/>
  <c r="U1162"/>
  <c r="V1161"/>
  <c r="U1161"/>
  <c r="V1160"/>
  <c r="U1160"/>
  <c r="V1159"/>
  <c r="U1159"/>
  <c r="V1158"/>
  <c r="U1158"/>
  <c r="V1157"/>
  <c r="U1157"/>
  <c r="V1156"/>
  <c r="U1156"/>
  <c r="V1155"/>
  <c r="U1155"/>
  <c r="V1154"/>
  <c r="U1154"/>
  <c r="V1153"/>
  <c r="U1153"/>
  <c r="V1152"/>
  <c r="U1152"/>
  <c r="V1151"/>
  <c r="U1151"/>
  <c r="V1150"/>
  <c r="U1150"/>
  <c r="V1149"/>
  <c r="U1149"/>
  <c r="V1148"/>
  <c r="U1148"/>
  <c r="V1147"/>
  <c r="U1147"/>
  <c r="U1146"/>
  <c r="V1145"/>
  <c r="U1145"/>
  <c r="V1144"/>
  <c r="U1144"/>
  <c r="V1143"/>
  <c r="U1143"/>
  <c r="V1142"/>
  <c r="U1142"/>
  <c r="V1141"/>
  <c r="U1141"/>
  <c r="V1140"/>
  <c r="U1140"/>
  <c r="V1139"/>
  <c r="U1139"/>
  <c r="V1138"/>
  <c r="U1138"/>
  <c r="V1137"/>
  <c r="U1137"/>
  <c r="V1136"/>
  <c r="U1136"/>
  <c r="V1135"/>
  <c r="U1135"/>
  <c r="V1134"/>
  <c r="U1134"/>
  <c r="V1133"/>
  <c r="U1133"/>
  <c r="V1132"/>
  <c r="U1132"/>
  <c r="V1131"/>
  <c r="U1131"/>
  <c r="V1130"/>
  <c r="U1130"/>
  <c r="V1129"/>
  <c r="U1129"/>
  <c r="V1128"/>
  <c r="U1128"/>
  <c r="V1127"/>
  <c r="U1127"/>
  <c r="V1126"/>
  <c r="U1126"/>
  <c r="V1125"/>
  <c r="U1125"/>
  <c r="V1124"/>
  <c r="U1124"/>
  <c r="V1122"/>
  <c r="U1122"/>
  <c r="V1121"/>
  <c r="U1121"/>
  <c r="V1120"/>
  <c r="U1120"/>
  <c r="V1119"/>
  <c r="U1119"/>
  <c r="V1118"/>
  <c r="U1118"/>
  <c r="V1117"/>
  <c r="U1117"/>
  <c r="V1116"/>
  <c r="U1116"/>
  <c r="V1115"/>
  <c r="U1115"/>
  <c r="V1114"/>
  <c r="U1114"/>
  <c r="V1113"/>
  <c r="U1113"/>
  <c r="V1112"/>
  <c r="U1112"/>
  <c r="V1111"/>
  <c r="U1111"/>
  <c r="V1110"/>
  <c r="U1110"/>
  <c r="V1109"/>
  <c r="U1109"/>
  <c r="V1108"/>
  <c r="U1108"/>
  <c r="V1107"/>
  <c r="U1107"/>
  <c r="V1106"/>
  <c r="U1106"/>
  <c r="V1105"/>
  <c r="U1105"/>
  <c r="V1104"/>
  <c r="U1104"/>
  <c r="V1103"/>
  <c r="U1103"/>
  <c r="V1102"/>
  <c r="U1102"/>
  <c r="V1101"/>
  <c r="U1101"/>
  <c r="V1100"/>
  <c r="U1100"/>
  <c r="V1099"/>
  <c r="U1099"/>
  <c r="V1098"/>
  <c r="U1098"/>
  <c r="V1097"/>
  <c r="U1097"/>
  <c r="V1096"/>
  <c r="U1096"/>
  <c r="V1095"/>
  <c r="U1095"/>
  <c r="V1094"/>
  <c r="U1094"/>
  <c r="V1093"/>
  <c r="U1093"/>
  <c r="V1092"/>
  <c r="U1092"/>
  <c r="V1091"/>
  <c r="U1091"/>
  <c r="V1090"/>
  <c r="U1090"/>
  <c r="V1089"/>
  <c r="U1089"/>
  <c r="V1088"/>
  <c r="U1088"/>
  <c r="V1087"/>
  <c r="U1087"/>
  <c r="V1086"/>
  <c r="U1086"/>
  <c r="V1085"/>
  <c r="U1085"/>
  <c r="V1084"/>
  <c r="U1084"/>
  <c r="V1083"/>
  <c r="U1083"/>
  <c r="V1082"/>
  <c r="U1082"/>
  <c r="V1081"/>
  <c r="U1081"/>
  <c r="U1080"/>
  <c r="V1079"/>
  <c r="U1079"/>
  <c r="V1078"/>
  <c r="U1078"/>
  <c r="V1077"/>
  <c r="U1077"/>
  <c r="V1076"/>
  <c r="U1076"/>
  <c r="V1075"/>
  <c r="U1075"/>
  <c r="V1074"/>
  <c r="U1074"/>
  <c r="V1073"/>
  <c r="U1073"/>
  <c r="V1072"/>
  <c r="U1072"/>
  <c r="V1071"/>
  <c r="U1071"/>
  <c r="V1070"/>
  <c r="U1070"/>
  <c r="V1069"/>
  <c r="U1069"/>
  <c r="V1068"/>
  <c r="U1068"/>
  <c r="V1067"/>
  <c r="U1067"/>
  <c r="V1066"/>
  <c r="U1066"/>
  <c r="V1064"/>
  <c r="U1064"/>
  <c r="V1063"/>
  <c r="U1063"/>
  <c r="V1062"/>
  <c r="U1062"/>
  <c r="V1061"/>
  <c r="U1061"/>
  <c r="V1060"/>
  <c r="U1060"/>
  <c r="V1059"/>
  <c r="U1059"/>
  <c r="V1058"/>
  <c r="U1058"/>
  <c r="V1057"/>
  <c r="U1057"/>
  <c r="V1056"/>
  <c r="U1056"/>
  <c r="V1055"/>
  <c r="U1055"/>
  <c r="V1054"/>
  <c r="U1054"/>
  <c r="V1053"/>
  <c r="U1053"/>
  <c r="V1052"/>
  <c r="U1052"/>
  <c r="V1051"/>
  <c r="U1051"/>
  <c r="V1050"/>
  <c r="U1050"/>
  <c r="V1049"/>
  <c r="U1049"/>
  <c r="U1048"/>
  <c r="V1047"/>
  <c r="U1047"/>
  <c r="V1046"/>
  <c r="U1046"/>
  <c r="V1045"/>
  <c r="U1045"/>
  <c r="V1044"/>
  <c r="U1044"/>
  <c r="V1043"/>
  <c r="U1043"/>
  <c r="V1042"/>
  <c r="U1042"/>
  <c r="V1041"/>
  <c r="U1041"/>
  <c r="V1040"/>
  <c r="U1040"/>
  <c r="V1039"/>
  <c r="U1039"/>
  <c r="V1038"/>
  <c r="U1038"/>
  <c r="V1037"/>
  <c r="U1037"/>
  <c r="V1036"/>
  <c r="U1036"/>
  <c r="V1035"/>
  <c r="U1035"/>
  <c r="V1034"/>
  <c r="U1034"/>
  <c r="V1033"/>
  <c r="U1033"/>
  <c r="V1032"/>
  <c r="U1032"/>
  <c r="V1031"/>
  <c r="U1031"/>
  <c r="V1030"/>
  <c r="U1030"/>
  <c r="V1029"/>
  <c r="U1029"/>
  <c r="V1028"/>
  <c r="U1028"/>
  <c r="V1027"/>
  <c r="U1027"/>
  <c r="V1026"/>
  <c r="U1026"/>
  <c r="V1025"/>
  <c r="U1025"/>
  <c r="V1024"/>
  <c r="U1024"/>
  <c r="V1023"/>
  <c r="U1023"/>
  <c r="V1022"/>
  <c r="U1022"/>
  <c r="V1021"/>
  <c r="U1021"/>
  <c r="V1020"/>
  <c r="U1020"/>
  <c r="V1019"/>
  <c r="U1019"/>
  <c r="V1018"/>
  <c r="U1018"/>
  <c r="V1017"/>
  <c r="U1017"/>
  <c r="V1016"/>
  <c r="U1016"/>
  <c r="V1015"/>
  <c r="U1015"/>
  <c r="V1014"/>
  <c r="U1014"/>
  <c r="V1013"/>
  <c r="U1013"/>
  <c r="V1012"/>
  <c r="U1012"/>
  <c r="V1011"/>
  <c r="U1011"/>
  <c r="V1010"/>
  <c r="U1010"/>
  <c r="U1009"/>
  <c r="V1008"/>
  <c r="U1008"/>
  <c r="U1007"/>
  <c r="V1006"/>
  <c r="U1006"/>
  <c r="V1005"/>
  <c r="U1005"/>
  <c r="U1004"/>
  <c r="V1003"/>
  <c r="U1003"/>
  <c r="V1002"/>
  <c r="U1002"/>
  <c r="V1001"/>
  <c r="U1001"/>
  <c r="V1000"/>
  <c r="U1000"/>
  <c r="V999"/>
  <c r="U999"/>
  <c r="V998"/>
  <c r="U998"/>
  <c r="V997"/>
  <c r="U997"/>
  <c r="V996"/>
  <c r="U996"/>
  <c r="V995"/>
  <c r="U995"/>
  <c r="V994"/>
  <c r="U994"/>
  <c r="V993"/>
  <c r="U993"/>
  <c r="V992"/>
  <c r="U992"/>
  <c r="U991"/>
  <c r="V990"/>
  <c r="U990"/>
  <c r="V989"/>
  <c r="U989"/>
  <c r="V988"/>
  <c r="U988"/>
  <c r="V987"/>
  <c r="U987"/>
  <c r="V986"/>
  <c r="U986"/>
  <c r="V985"/>
  <c r="U985"/>
  <c r="V984"/>
  <c r="U984"/>
  <c r="V983"/>
  <c r="U983"/>
  <c r="V982"/>
  <c r="U982"/>
  <c r="V981"/>
  <c r="U981"/>
  <c r="V980"/>
  <c r="U980"/>
  <c r="V979"/>
  <c r="U979"/>
  <c r="V978"/>
  <c r="V977"/>
  <c r="U977"/>
  <c r="V976"/>
  <c r="U976"/>
  <c r="V975"/>
  <c r="U975"/>
  <c r="V974"/>
  <c r="U974"/>
  <c r="V973"/>
  <c r="U973"/>
  <c r="V972"/>
  <c r="U972"/>
  <c r="V971"/>
  <c r="U971"/>
  <c r="V970"/>
  <c r="U970"/>
  <c r="U969"/>
  <c r="V968"/>
  <c r="U968"/>
  <c r="U967"/>
  <c r="U966"/>
  <c r="V965"/>
  <c r="U965"/>
  <c r="V964"/>
  <c r="U964"/>
  <c r="V963"/>
  <c r="U963"/>
  <c r="V962"/>
  <c r="U962"/>
  <c r="V961"/>
  <c r="U961"/>
  <c r="V960"/>
  <c r="U960"/>
  <c r="V959"/>
  <c r="U959"/>
  <c r="V958"/>
  <c r="U958"/>
  <c r="V957"/>
  <c r="U957"/>
  <c r="V956"/>
  <c r="U956"/>
  <c r="V955"/>
  <c r="U955"/>
  <c r="V954"/>
  <c r="U954"/>
  <c r="V953"/>
  <c r="U953"/>
  <c r="V952"/>
  <c r="U952"/>
  <c r="V951"/>
  <c r="U951"/>
  <c r="V950"/>
  <c r="U950"/>
  <c r="V949"/>
  <c r="U949"/>
  <c r="V948"/>
  <c r="U948"/>
  <c r="V947"/>
  <c r="U947"/>
  <c r="V946"/>
  <c r="U946"/>
  <c r="V945"/>
  <c r="U945"/>
  <c r="U944"/>
  <c r="U943"/>
  <c r="U942"/>
  <c r="U941"/>
  <c r="V940"/>
  <c r="U940"/>
  <c r="V939"/>
  <c r="U939"/>
  <c r="V938"/>
  <c r="U938"/>
  <c r="V937"/>
  <c r="U937"/>
  <c r="V936"/>
  <c r="U936"/>
  <c r="V935"/>
  <c r="U935"/>
  <c r="V934"/>
  <c r="U934"/>
  <c r="V933"/>
  <c r="U933"/>
  <c r="V932"/>
  <c r="U932"/>
  <c r="V931"/>
  <c r="U931"/>
  <c r="V930"/>
  <c r="U930"/>
  <c r="V929"/>
  <c r="U929"/>
  <c r="V928"/>
  <c r="U928"/>
  <c r="V927"/>
  <c r="U927"/>
  <c r="V926"/>
  <c r="U926"/>
  <c r="V925"/>
  <c r="U925"/>
  <c r="V924"/>
  <c r="U924"/>
  <c r="V923"/>
  <c r="U923"/>
  <c r="V922"/>
  <c r="U922"/>
  <c r="V921"/>
  <c r="U921"/>
  <c r="V920"/>
  <c r="U920"/>
  <c r="V919"/>
  <c r="U919"/>
  <c r="V918"/>
  <c r="U918"/>
  <c r="V917"/>
  <c r="U917"/>
  <c r="V916"/>
  <c r="U916"/>
  <c r="V915"/>
  <c r="U915"/>
  <c r="V914"/>
  <c r="V913"/>
  <c r="U913"/>
  <c r="V912"/>
  <c r="U912"/>
  <c r="V911"/>
  <c r="U911"/>
  <c r="V910"/>
  <c r="U910"/>
  <c r="V909"/>
  <c r="U909"/>
  <c r="V908"/>
  <c r="U908"/>
  <c r="V907"/>
  <c r="U907"/>
  <c r="V906"/>
  <c r="U906"/>
  <c r="V905"/>
  <c r="U905"/>
  <c r="V904"/>
  <c r="U904"/>
  <c r="V903"/>
  <c r="U903"/>
  <c r="V902"/>
  <c r="U902"/>
  <c r="V901"/>
  <c r="V900"/>
  <c r="U900"/>
  <c r="V899"/>
  <c r="U899"/>
  <c r="V898"/>
  <c r="U898"/>
  <c r="V897"/>
  <c r="U897"/>
  <c r="V896"/>
  <c r="U896"/>
  <c r="V895"/>
  <c r="U895"/>
  <c r="V894"/>
  <c r="U894"/>
  <c r="V893"/>
  <c r="U893"/>
  <c r="V892"/>
  <c r="U892"/>
  <c r="V891"/>
  <c r="U891"/>
  <c r="V890"/>
  <c r="U890"/>
  <c r="V889"/>
  <c r="U889"/>
  <c r="V888"/>
  <c r="U888"/>
  <c r="V887"/>
  <c r="U887"/>
  <c r="V886"/>
  <c r="U886"/>
  <c r="V885"/>
  <c r="U885"/>
  <c r="V884"/>
  <c r="U884"/>
  <c r="V883"/>
  <c r="U883"/>
  <c r="V882"/>
  <c r="U882"/>
  <c r="V881"/>
  <c r="U881"/>
  <c r="U880"/>
  <c r="V879"/>
  <c r="U879"/>
  <c r="V878"/>
  <c r="U878"/>
  <c r="V877"/>
  <c r="U877"/>
  <c r="V876"/>
  <c r="U876"/>
  <c r="V875"/>
  <c r="U875"/>
  <c r="V874"/>
  <c r="U874"/>
  <c r="V873"/>
  <c r="U873"/>
  <c r="V872"/>
  <c r="U872"/>
  <c r="V871"/>
  <c r="U871"/>
  <c r="V870"/>
  <c r="U870"/>
  <c r="V869"/>
  <c r="U869"/>
  <c r="V868"/>
  <c r="U868"/>
  <c r="V867"/>
  <c r="U867"/>
  <c r="V866"/>
  <c r="U866"/>
  <c r="V865"/>
  <c r="U865"/>
  <c r="V864"/>
  <c r="U864"/>
  <c r="V863"/>
  <c r="U863"/>
  <c r="V862"/>
  <c r="U862"/>
  <c r="V861"/>
  <c r="U861"/>
  <c r="V860"/>
  <c r="U860"/>
  <c r="U859"/>
  <c r="V858"/>
  <c r="U858"/>
  <c r="V857"/>
  <c r="U857"/>
  <c r="V856"/>
  <c r="U856"/>
  <c r="V855"/>
  <c r="U855"/>
  <c r="V854"/>
  <c r="U854"/>
  <c r="V853"/>
  <c r="U853"/>
  <c r="V852"/>
  <c r="U852"/>
  <c r="V851"/>
  <c r="U851"/>
  <c r="V850"/>
  <c r="U850"/>
  <c r="V849"/>
  <c r="U849"/>
  <c r="V848"/>
  <c r="U848"/>
  <c r="V847"/>
  <c r="U847"/>
  <c r="V846"/>
  <c r="U846"/>
  <c r="V845"/>
  <c r="U845"/>
  <c r="V844"/>
  <c r="U844"/>
  <c r="V843"/>
  <c r="U843"/>
  <c r="V842"/>
  <c r="U842"/>
  <c r="V841"/>
  <c r="U841"/>
  <c r="V840"/>
  <c r="U840"/>
  <c r="V839"/>
  <c r="U839"/>
  <c r="V838"/>
  <c r="U838"/>
  <c r="V837"/>
  <c r="U837"/>
  <c r="V836"/>
  <c r="U836"/>
  <c r="V835"/>
  <c r="U835"/>
  <c r="V834"/>
  <c r="U834"/>
  <c r="V833"/>
  <c r="U833"/>
  <c r="V832"/>
  <c r="U832"/>
  <c r="V831"/>
  <c r="U831"/>
  <c r="V830"/>
  <c r="U830"/>
  <c r="V829"/>
  <c r="U829"/>
  <c r="V828"/>
  <c r="U828"/>
  <c r="V827"/>
  <c r="U827"/>
  <c r="V826"/>
  <c r="U826"/>
  <c r="V825"/>
  <c r="U825"/>
  <c r="V824"/>
  <c r="U824"/>
  <c r="V823"/>
  <c r="U823"/>
  <c r="V822"/>
  <c r="U822"/>
  <c r="V821"/>
  <c r="U821"/>
  <c r="V819"/>
  <c r="U819"/>
  <c r="V818"/>
  <c r="U818"/>
  <c r="V817"/>
  <c r="U817"/>
  <c r="V816"/>
  <c r="U816"/>
  <c r="V815"/>
  <c r="U815"/>
  <c r="V814"/>
  <c r="U814"/>
  <c r="V813"/>
  <c r="U813"/>
  <c r="V812"/>
  <c r="U812"/>
  <c r="V811"/>
  <c r="U811"/>
  <c r="V810"/>
  <c r="U810"/>
  <c r="V809"/>
  <c r="U809"/>
  <c r="V808"/>
  <c r="U808"/>
  <c r="V807"/>
  <c r="U807"/>
  <c r="V806"/>
  <c r="U806"/>
  <c r="V805"/>
  <c r="U805"/>
  <c r="V804"/>
  <c r="U804"/>
  <c r="V803"/>
  <c r="U803"/>
  <c r="V802"/>
  <c r="U802"/>
  <c r="V801"/>
  <c r="U801"/>
  <c r="V800"/>
  <c r="U800"/>
  <c r="V799"/>
  <c r="U799"/>
  <c r="V798"/>
  <c r="U798"/>
  <c r="V797"/>
  <c r="U797"/>
  <c r="V796"/>
  <c r="U796"/>
  <c r="V795"/>
  <c r="U795"/>
  <c r="V794"/>
  <c r="U794"/>
  <c r="V793"/>
  <c r="U793"/>
  <c r="V792"/>
  <c r="U792"/>
  <c r="V791"/>
  <c r="U791"/>
  <c r="V790"/>
  <c r="U790"/>
  <c r="V789"/>
  <c r="U789"/>
  <c r="V788"/>
  <c r="U788"/>
  <c r="V787"/>
  <c r="U787"/>
  <c r="U786"/>
  <c r="V785"/>
  <c r="U785"/>
  <c r="V784"/>
  <c r="U784"/>
  <c r="V783"/>
  <c r="U783"/>
  <c r="V782"/>
  <c r="U782"/>
  <c r="V781"/>
  <c r="U781"/>
  <c r="V780"/>
  <c r="U780"/>
  <c r="V779"/>
  <c r="U779"/>
  <c r="V778"/>
  <c r="U778"/>
  <c r="V777"/>
  <c r="U777"/>
  <c r="U776"/>
  <c r="V775"/>
  <c r="U775"/>
  <c r="V774"/>
  <c r="U774"/>
  <c r="V773"/>
  <c r="U773"/>
  <c r="V772"/>
  <c r="U772"/>
  <c r="V771"/>
  <c r="U771"/>
  <c r="V770"/>
  <c r="U770"/>
  <c r="V769"/>
  <c r="U769"/>
  <c r="V768"/>
  <c r="U768"/>
  <c r="V767"/>
  <c r="U767"/>
  <c r="V766"/>
  <c r="U766"/>
  <c r="V765"/>
  <c r="U765"/>
  <c r="V764"/>
  <c r="U764"/>
  <c r="V763"/>
  <c r="U763"/>
  <c r="V762"/>
  <c r="U762"/>
  <c r="V761"/>
  <c r="U761"/>
  <c r="V760"/>
  <c r="U760"/>
  <c r="V759"/>
  <c r="U759"/>
  <c r="V758"/>
  <c r="U758"/>
  <c r="V757"/>
  <c r="U757"/>
  <c r="V756"/>
  <c r="U756"/>
  <c r="V755"/>
  <c r="U755"/>
  <c r="V754"/>
  <c r="U754"/>
  <c r="V753"/>
  <c r="U753"/>
  <c r="V752"/>
  <c r="U752"/>
  <c r="V751"/>
  <c r="U751"/>
  <c r="V750"/>
  <c r="U750"/>
  <c r="V749"/>
  <c r="U749"/>
  <c r="V748"/>
  <c r="U748"/>
  <c r="V747"/>
  <c r="U747"/>
  <c r="V746"/>
  <c r="V745"/>
  <c r="U745"/>
  <c r="V744"/>
  <c r="U744"/>
  <c r="V743"/>
  <c r="U743"/>
  <c r="V742"/>
  <c r="U742"/>
  <c r="V741"/>
  <c r="U741"/>
  <c r="V740"/>
  <c r="U740"/>
  <c r="V739"/>
  <c r="U739"/>
  <c r="V738"/>
  <c r="U738"/>
  <c r="V737"/>
  <c r="U737"/>
  <c r="V736"/>
  <c r="U736"/>
  <c r="V735"/>
  <c r="U735"/>
  <c r="V734"/>
  <c r="U734"/>
  <c r="V733"/>
  <c r="U733"/>
  <c r="V732"/>
  <c r="U732"/>
  <c r="V731"/>
  <c r="U731"/>
  <c r="V730"/>
  <c r="U730"/>
  <c r="V729"/>
  <c r="U729"/>
  <c r="V728"/>
  <c r="U728"/>
  <c r="V727"/>
  <c r="U727"/>
  <c r="V726"/>
  <c r="U726"/>
  <c r="U725"/>
  <c r="U724"/>
  <c r="V723"/>
  <c r="U723"/>
  <c r="V722"/>
  <c r="U722"/>
  <c r="V721"/>
  <c r="U721"/>
  <c r="V720"/>
  <c r="U720"/>
  <c r="V719"/>
  <c r="U719"/>
  <c r="V718"/>
  <c r="U718"/>
  <c r="V717"/>
  <c r="U717"/>
  <c r="V716"/>
  <c r="U716"/>
  <c r="V715"/>
  <c r="U715"/>
  <c r="U714"/>
  <c r="U713"/>
  <c r="V712"/>
  <c r="U712"/>
  <c r="V711"/>
  <c r="U711"/>
  <c r="V710"/>
  <c r="U710"/>
  <c r="V709"/>
  <c r="U709"/>
  <c r="V708"/>
  <c r="U708"/>
  <c r="U707"/>
  <c r="V706"/>
  <c r="U706"/>
  <c r="V705"/>
  <c r="U705"/>
  <c r="V704"/>
  <c r="U704"/>
  <c r="V703"/>
  <c r="U703"/>
  <c r="V702"/>
  <c r="U702"/>
  <c r="V701"/>
  <c r="U701"/>
  <c r="V700"/>
  <c r="U700"/>
  <c r="V699"/>
  <c r="U699"/>
  <c r="V698"/>
  <c r="U698"/>
  <c r="V697"/>
  <c r="U697"/>
  <c r="V696"/>
  <c r="U696"/>
  <c r="V695"/>
  <c r="U695"/>
  <c r="V694"/>
  <c r="U694"/>
  <c r="V693"/>
  <c r="U693"/>
  <c r="V692"/>
  <c r="U692"/>
  <c r="V691"/>
  <c r="U691"/>
  <c r="V690"/>
  <c r="U690"/>
  <c r="U689"/>
  <c r="U688"/>
  <c r="V687"/>
  <c r="U687"/>
  <c r="V686"/>
  <c r="U686"/>
  <c r="V685"/>
  <c r="U685"/>
  <c r="V684"/>
  <c r="U684"/>
  <c r="V683"/>
  <c r="U683"/>
  <c r="V682"/>
  <c r="U682"/>
  <c r="V681"/>
  <c r="U681"/>
  <c r="V680"/>
  <c r="U680"/>
  <c r="V679"/>
  <c r="U679"/>
  <c r="V678"/>
  <c r="U678"/>
  <c r="V677"/>
  <c r="U677"/>
  <c r="V676"/>
  <c r="U676"/>
  <c r="V675"/>
  <c r="U675"/>
  <c r="V674"/>
  <c r="U674"/>
  <c r="V673"/>
  <c r="U673"/>
  <c r="V672"/>
  <c r="U672"/>
  <c r="V671"/>
  <c r="U671"/>
  <c r="V670"/>
  <c r="U670"/>
  <c r="V669"/>
  <c r="U669"/>
  <c r="V668"/>
  <c r="U668"/>
  <c r="V667"/>
  <c r="U667"/>
  <c r="U666"/>
  <c r="V665"/>
  <c r="U665"/>
  <c r="V664"/>
  <c r="U664"/>
  <c r="V663"/>
  <c r="U663"/>
  <c r="V662"/>
  <c r="U662"/>
  <c r="V661"/>
  <c r="U661"/>
  <c r="V660"/>
  <c r="U660"/>
  <c r="V659"/>
  <c r="U659"/>
  <c r="V658"/>
  <c r="U658"/>
  <c r="V657"/>
  <c r="U657"/>
  <c r="V656"/>
  <c r="U656"/>
  <c r="V655"/>
  <c r="U655"/>
  <c r="V654"/>
  <c r="U654"/>
  <c r="V653"/>
  <c r="U653"/>
  <c r="V652"/>
  <c r="U652"/>
  <c r="V651"/>
  <c r="U651"/>
  <c r="U650"/>
  <c r="V649"/>
  <c r="U649"/>
  <c r="V648"/>
  <c r="U648"/>
  <c r="V647"/>
  <c r="U647"/>
  <c r="V646"/>
  <c r="U646"/>
  <c r="V645"/>
  <c r="U645"/>
  <c r="V644"/>
  <c r="U644"/>
  <c r="V643"/>
  <c r="U643"/>
  <c r="V642"/>
  <c r="U642"/>
  <c r="V641"/>
  <c r="U641"/>
  <c r="V640"/>
  <c r="U640"/>
  <c r="V639"/>
  <c r="U639"/>
  <c r="V638"/>
  <c r="U638"/>
  <c r="V637"/>
  <c r="U637"/>
  <c r="V636"/>
  <c r="U636"/>
  <c r="V635"/>
  <c r="U635"/>
  <c r="V634"/>
  <c r="V633"/>
  <c r="V632"/>
  <c r="U632"/>
  <c r="V631"/>
  <c r="U631"/>
  <c r="V630"/>
  <c r="U630"/>
  <c r="V629"/>
  <c r="U629"/>
  <c r="V628"/>
  <c r="U628"/>
  <c r="V627"/>
  <c r="U627"/>
  <c r="V626"/>
  <c r="U626"/>
  <c r="V625"/>
  <c r="U625"/>
  <c r="V624"/>
  <c r="U624"/>
  <c r="V623"/>
  <c r="U623"/>
  <c r="V622"/>
  <c r="U622"/>
  <c r="V621"/>
  <c r="U621"/>
  <c r="V620"/>
  <c r="U620"/>
  <c r="V619"/>
  <c r="U619"/>
  <c r="V618"/>
  <c r="U618"/>
  <c r="V617"/>
  <c r="U617"/>
  <c r="V616"/>
  <c r="U616"/>
  <c r="V615"/>
  <c r="U615"/>
  <c r="V614"/>
  <c r="U614"/>
  <c r="V613"/>
  <c r="U613"/>
  <c r="V612"/>
  <c r="U612"/>
  <c r="V611"/>
  <c r="U611"/>
  <c r="V610"/>
  <c r="U610"/>
  <c r="V609"/>
  <c r="U609"/>
  <c r="V608"/>
  <c r="U608"/>
  <c r="V607"/>
  <c r="U607"/>
  <c r="V606"/>
  <c r="U606"/>
  <c r="V605"/>
  <c r="U605"/>
  <c r="V604"/>
  <c r="U604"/>
  <c r="V603"/>
  <c r="U603"/>
  <c r="V602"/>
  <c r="U602"/>
  <c r="V601"/>
  <c r="U601"/>
  <c r="V600"/>
  <c r="U600"/>
  <c r="V599"/>
  <c r="U599"/>
  <c r="V598"/>
  <c r="U598"/>
  <c r="V597"/>
  <c r="U597"/>
  <c r="V596"/>
  <c r="U596"/>
  <c r="V595"/>
  <c r="U595"/>
  <c r="V594"/>
  <c r="U594"/>
  <c r="V593"/>
  <c r="U593"/>
  <c r="V592"/>
  <c r="U592"/>
  <c r="V591"/>
  <c r="U591"/>
  <c r="V590"/>
  <c r="U590"/>
  <c r="V589"/>
  <c r="U589"/>
  <c r="V588"/>
  <c r="U588"/>
  <c r="V587"/>
  <c r="U587"/>
  <c r="V586"/>
  <c r="U586"/>
  <c r="V585"/>
  <c r="U585"/>
  <c r="U584"/>
  <c r="V583"/>
  <c r="U583"/>
  <c r="V582"/>
  <c r="U582"/>
  <c r="V581"/>
  <c r="U581"/>
  <c r="V580"/>
  <c r="U580"/>
  <c r="V579"/>
  <c r="U579"/>
  <c r="V578"/>
  <c r="V577"/>
  <c r="U577"/>
  <c r="V576"/>
  <c r="U576"/>
  <c r="V575"/>
  <c r="U575"/>
  <c r="V574"/>
  <c r="U574"/>
  <c r="V573"/>
  <c r="U573"/>
  <c r="V572"/>
  <c r="U572"/>
  <c r="V571"/>
  <c r="U571"/>
  <c r="V570"/>
  <c r="U570"/>
  <c r="V569"/>
  <c r="U569"/>
  <c r="V568"/>
  <c r="U568"/>
  <c r="V567"/>
  <c r="U567"/>
  <c r="U566"/>
  <c r="V565"/>
  <c r="U565"/>
  <c r="V564"/>
  <c r="U564"/>
  <c r="V563"/>
  <c r="U563"/>
  <c r="V562"/>
  <c r="U562"/>
  <c r="V561"/>
  <c r="U561"/>
  <c r="V560"/>
  <c r="U560"/>
  <c r="V559"/>
  <c r="U559"/>
  <c r="V558"/>
  <c r="U558"/>
  <c r="V557"/>
  <c r="U557"/>
  <c r="V556"/>
  <c r="U556"/>
  <c r="V555"/>
  <c r="U555"/>
  <c r="V554"/>
  <c r="U554"/>
  <c r="V553"/>
  <c r="U553"/>
  <c r="U552"/>
  <c r="V551"/>
  <c r="U551"/>
  <c r="V550"/>
  <c r="U550"/>
  <c r="V549"/>
  <c r="U549"/>
  <c r="V548"/>
  <c r="U548"/>
  <c r="V547"/>
  <c r="U547"/>
  <c r="V546"/>
  <c r="U546"/>
  <c r="V545"/>
  <c r="U545"/>
  <c r="V544"/>
  <c r="U544"/>
  <c r="V543"/>
  <c r="U543"/>
  <c r="V542"/>
  <c r="U542"/>
  <c r="V541"/>
  <c r="U541"/>
  <c r="V540"/>
  <c r="U540"/>
  <c r="U539"/>
  <c r="V538"/>
  <c r="U538"/>
  <c r="V537"/>
  <c r="U537"/>
  <c r="V536"/>
  <c r="U536"/>
  <c r="V535"/>
  <c r="U535"/>
  <c r="V534"/>
  <c r="U534"/>
  <c r="V533"/>
  <c r="U533"/>
  <c r="V532"/>
  <c r="U532"/>
  <c r="V531"/>
  <c r="U531"/>
  <c r="V530"/>
  <c r="U530"/>
  <c r="V529"/>
  <c r="U529"/>
  <c r="V528"/>
  <c r="U528"/>
  <c r="V527"/>
  <c r="U527"/>
  <c r="V526"/>
  <c r="U526"/>
  <c r="V525"/>
  <c r="U525"/>
  <c r="V524"/>
  <c r="U524"/>
  <c r="V523"/>
  <c r="U523"/>
  <c r="V522"/>
  <c r="U522"/>
  <c r="V521"/>
  <c r="U521"/>
  <c r="V520"/>
  <c r="U520"/>
  <c r="V519"/>
  <c r="U519"/>
  <c r="V518"/>
  <c r="U518"/>
  <c r="V517"/>
  <c r="U517"/>
  <c r="V516"/>
  <c r="U516"/>
  <c r="V515"/>
  <c r="U515"/>
  <c r="V514"/>
  <c r="U514"/>
  <c r="V513"/>
  <c r="U513"/>
  <c r="V512"/>
  <c r="U512"/>
  <c r="V511"/>
  <c r="U511"/>
  <c r="V510"/>
  <c r="U510"/>
  <c r="V509"/>
  <c r="U509"/>
  <c r="V508"/>
  <c r="U508"/>
  <c r="V507"/>
  <c r="U507"/>
  <c r="V506"/>
  <c r="U506"/>
  <c r="V505"/>
  <c r="U505"/>
  <c r="V504"/>
  <c r="U504"/>
  <c r="V503"/>
  <c r="U503"/>
  <c r="V502"/>
  <c r="U502"/>
  <c r="V501"/>
  <c r="U501"/>
  <c r="V500"/>
  <c r="U500"/>
  <c r="V499"/>
  <c r="U499"/>
  <c r="V498"/>
  <c r="U498"/>
  <c r="V497"/>
  <c r="U497"/>
  <c r="V496"/>
  <c r="U496"/>
  <c r="V495"/>
  <c r="U495"/>
  <c r="V494"/>
  <c r="U494"/>
  <c r="V493"/>
  <c r="U493"/>
  <c r="V492"/>
  <c r="U492"/>
  <c r="V491"/>
  <c r="U491"/>
  <c r="U490"/>
  <c r="V489"/>
  <c r="U489"/>
  <c r="V488"/>
  <c r="U488"/>
  <c r="V487"/>
  <c r="U487"/>
  <c r="V486"/>
  <c r="U486"/>
  <c r="V485"/>
  <c r="U485"/>
  <c r="V484"/>
  <c r="U484"/>
  <c r="V483"/>
  <c r="U483"/>
  <c r="V482"/>
  <c r="U482"/>
  <c r="U481"/>
  <c r="V480"/>
  <c r="U480"/>
  <c r="V479"/>
  <c r="U479"/>
  <c r="V478"/>
  <c r="U478"/>
  <c r="V477"/>
  <c r="U477"/>
  <c r="V476"/>
  <c r="U476"/>
  <c r="V475"/>
  <c r="U475"/>
  <c r="V474"/>
  <c r="U474"/>
  <c r="V473"/>
  <c r="U473"/>
  <c r="V472"/>
  <c r="U472"/>
  <c r="V471"/>
  <c r="U471"/>
  <c r="U470"/>
  <c r="U469"/>
  <c r="V468"/>
  <c r="U468"/>
  <c r="V467"/>
  <c r="U467"/>
  <c r="V466"/>
  <c r="U466"/>
  <c r="V465"/>
  <c r="U465"/>
  <c r="V464"/>
  <c r="V463"/>
  <c r="V462"/>
  <c r="U462"/>
  <c r="V461"/>
  <c r="U461"/>
  <c r="V460"/>
  <c r="U460"/>
  <c r="V459"/>
  <c r="U459"/>
  <c r="V458"/>
  <c r="U458"/>
  <c r="V457"/>
  <c r="U457"/>
  <c r="V456"/>
  <c r="U456"/>
  <c r="V455"/>
  <c r="U455"/>
  <c r="V454"/>
  <c r="U454"/>
  <c r="V453"/>
  <c r="U453"/>
  <c r="V452"/>
  <c r="U452"/>
  <c r="V451"/>
  <c r="U451"/>
  <c r="V450"/>
  <c r="U450"/>
  <c r="V449"/>
  <c r="U449"/>
  <c r="V448"/>
  <c r="U448"/>
  <c r="V447"/>
  <c r="U447"/>
  <c r="V446"/>
  <c r="U446"/>
  <c r="V444"/>
  <c r="U444"/>
  <c r="V443"/>
  <c r="U443"/>
  <c r="V442"/>
  <c r="U442"/>
  <c r="V441"/>
  <c r="U441"/>
  <c r="U440"/>
  <c r="V439"/>
  <c r="U439"/>
  <c r="V438"/>
  <c r="U438"/>
  <c r="V437"/>
  <c r="U437"/>
  <c r="V436"/>
  <c r="U436"/>
  <c r="V435"/>
  <c r="U435"/>
  <c r="V434"/>
  <c r="U434"/>
  <c r="V433"/>
  <c r="U433"/>
  <c r="V432"/>
  <c r="U432"/>
  <c r="V431"/>
  <c r="U431"/>
  <c r="V430"/>
  <c r="U430"/>
  <c r="V429"/>
  <c r="U429"/>
  <c r="V427"/>
  <c r="U427"/>
  <c r="V426"/>
  <c r="U426"/>
  <c r="V425"/>
  <c r="U425"/>
  <c r="V424"/>
  <c r="U424"/>
  <c r="U423"/>
  <c r="V422"/>
  <c r="U422"/>
  <c r="V421"/>
  <c r="U421"/>
  <c r="V420"/>
  <c r="U420"/>
  <c r="V419"/>
  <c r="U419"/>
  <c r="V418"/>
  <c r="U418"/>
  <c r="V417"/>
  <c r="U417"/>
  <c r="V416"/>
  <c r="U416"/>
  <c r="V415"/>
  <c r="U415"/>
  <c r="V414"/>
  <c r="U414"/>
  <c r="V413"/>
  <c r="U413"/>
  <c r="V412"/>
  <c r="U412"/>
  <c r="V411"/>
  <c r="U411"/>
  <c r="V410"/>
  <c r="U410"/>
  <c r="V409"/>
  <c r="U409"/>
  <c r="V408"/>
  <c r="U408"/>
  <c r="V407"/>
  <c r="U407"/>
  <c r="V406"/>
  <c r="U406"/>
  <c r="V405"/>
  <c r="U405"/>
  <c r="V404"/>
  <c r="U404"/>
  <c r="V403"/>
  <c r="U403"/>
  <c r="U402"/>
  <c r="V401"/>
  <c r="U401"/>
  <c r="V400"/>
  <c r="U400"/>
  <c r="V399"/>
  <c r="U399"/>
  <c r="V398"/>
  <c r="U398"/>
  <c r="V397"/>
  <c r="U397"/>
  <c r="U396"/>
  <c r="V395"/>
  <c r="U395"/>
  <c r="V394"/>
  <c r="U394"/>
  <c r="V393"/>
  <c r="U393"/>
  <c r="V392"/>
  <c r="U392"/>
  <c r="V391"/>
  <c r="U391"/>
  <c r="V390"/>
  <c r="U390"/>
  <c r="V389"/>
  <c r="U389"/>
  <c r="V388"/>
  <c r="U388"/>
  <c r="V387"/>
  <c r="V386"/>
  <c r="U386"/>
  <c r="V385"/>
  <c r="U385"/>
  <c r="U384"/>
  <c r="U383"/>
  <c r="U382"/>
  <c r="U381"/>
  <c r="U380"/>
  <c r="U379"/>
  <c r="U378"/>
  <c r="U377"/>
  <c r="V376"/>
  <c r="U376"/>
  <c r="V375"/>
  <c r="U375"/>
  <c r="V374"/>
  <c r="U374"/>
  <c r="V373"/>
  <c r="U373"/>
  <c r="U372"/>
  <c r="V371"/>
  <c r="U371"/>
  <c r="V370"/>
  <c r="U370"/>
  <c r="V369"/>
  <c r="U369"/>
  <c r="V368"/>
  <c r="U368"/>
  <c r="V367"/>
  <c r="U367"/>
  <c r="V366"/>
  <c r="U366"/>
  <c r="V365"/>
  <c r="V364"/>
  <c r="U364"/>
  <c r="V363"/>
  <c r="U363"/>
  <c r="V362"/>
  <c r="U362"/>
  <c r="V361"/>
  <c r="U361"/>
  <c r="V360"/>
  <c r="U360"/>
  <c r="V359"/>
  <c r="U359"/>
  <c r="V358"/>
  <c r="U358"/>
  <c r="V357"/>
  <c r="U357"/>
  <c r="V356"/>
  <c r="U356"/>
  <c r="V355"/>
  <c r="U355"/>
  <c r="V354"/>
  <c r="U354"/>
  <c r="V353"/>
  <c r="U353"/>
  <c r="U352"/>
  <c r="V351"/>
  <c r="U351"/>
  <c r="V350"/>
  <c r="U350"/>
  <c r="V349"/>
  <c r="U349"/>
  <c r="U348"/>
  <c r="V347"/>
  <c r="U347"/>
  <c r="V346"/>
  <c r="U346"/>
  <c r="V345"/>
  <c r="U345"/>
  <c r="V344"/>
  <c r="U344"/>
  <c r="V343"/>
  <c r="U343"/>
  <c r="V342"/>
  <c r="U342"/>
  <c r="V341"/>
  <c r="U341"/>
  <c r="V340"/>
  <c r="U340"/>
  <c r="V339"/>
  <c r="U339"/>
  <c r="V338"/>
  <c r="U338"/>
  <c r="V337"/>
  <c r="U337"/>
  <c r="V336"/>
  <c r="U336"/>
  <c r="V335"/>
  <c r="U335"/>
  <c r="V334"/>
  <c r="U334"/>
  <c r="V333"/>
  <c r="U333"/>
  <c r="V332"/>
  <c r="U332"/>
  <c r="V331"/>
  <c r="U331"/>
  <c r="V330"/>
  <c r="U330"/>
  <c r="V329"/>
  <c r="U329"/>
  <c r="V328"/>
  <c r="U328"/>
  <c r="V327"/>
  <c r="U327"/>
  <c r="V326"/>
  <c r="U326"/>
  <c r="V325"/>
  <c r="U325"/>
  <c r="V324"/>
  <c r="U324"/>
  <c r="V323"/>
  <c r="U323"/>
  <c r="V322"/>
  <c r="U322"/>
  <c r="V321"/>
  <c r="U321"/>
  <c r="V320"/>
  <c r="U320"/>
  <c r="V319"/>
  <c r="U319"/>
  <c r="V318"/>
  <c r="U318"/>
  <c r="V317"/>
  <c r="U317"/>
  <c r="U316"/>
  <c r="V315"/>
  <c r="U315"/>
  <c r="V314"/>
  <c r="U314"/>
  <c r="V313"/>
  <c r="U313"/>
  <c r="V312"/>
  <c r="U312"/>
  <c r="V311"/>
  <c r="U311"/>
  <c r="V310"/>
  <c r="U310"/>
  <c r="U309"/>
  <c r="V308"/>
  <c r="U308"/>
  <c r="V307"/>
  <c r="U307"/>
  <c r="V306"/>
  <c r="U306"/>
  <c r="V305"/>
  <c r="U305"/>
  <c r="V304"/>
  <c r="U304"/>
  <c r="V303"/>
  <c r="U303"/>
  <c r="V302"/>
  <c r="U302"/>
  <c r="V301"/>
  <c r="U301"/>
  <c r="V300"/>
  <c r="U300"/>
  <c r="V299"/>
  <c r="U299"/>
  <c r="V298"/>
  <c r="U298"/>
  <c r="V297"/>
  <c r="U297"/>
  <c r="V296"/>
  <c r="U296"/>
  <c r="V295"/>
  <c r="U295"/>
  <c r="V294"/>
  <c r="V293"/>
  <c r="U293"/>
  <c r="V292"/>
  <c r="U292"/>
  <c r="V291"/>
  <c r="U291"/>
  <c r="V290"/>
  <c r="U290"/>
  <c r="V289"/>
  <c r="U289"/>
  <c r="V288"/>
  <c r="U288"/>
  <c r="V287"/>
  <c r="U287"/>
  <c r="V286"/>
  <c r="U286"/>
  <c r="V285"/>
  <c r="U285"/>
  <c r="V284"/>
  <c r="U284"/>
  <c r="V283"/>
  <c r="U283"/>
  <c r="V282"/>
  <c r="U282"/>
  <c r="V281"/>
  <c r="U281"/>
  <c r="V280"/>
  <c r="U280"/>
  <c r="V279"/>
  <c r="U279"/>
  <c r="V278"/>
  <c r="U278"/>
  <c r="V277"/>
  <c r="U277"/>
  <c r="V276"/>
  <c r="U276"/>
  <c r="V275"/>
  <c r="U275"/>
  <c r="V274"/>
  <c r="U274"/>
  <c r="V273"/>
  <c r="U273"/>
  <c r="V272"/>
  <c r="U272"/>
  <c r="V271"/>
  <c r="U271"/>
  <c r="V270"/>
  <c r="U270"/>
  <c r="V269"/>
  <c r="U269"/>
  <c r="V268"/>
  <c r="U268"/>
  <c r="V267"/>
  <c r="U267"/>
  <c r="V266"/>
  <c r="U266"/>
  <c r="V265"/>
  <c r="U265"/>
  <c r="V264"/>
  <c r="U264"/>
  <c r="V263"/>
  <c r="U263"/>
  <c r="V262"/>
  <c r="U262"/>
  <c r="V261"/>
  <c r="U261"/>
  <c r="V260"/>
  <c r="U260"/>
  <c r="V259"/>
  <c r="U259"/>
  <c r="V258"/>
  <c r="U258"/>
  <c r="V257"/>
  <c r="U257"/>
  <c r="V256"/>
  <c r="U256"/>
  <c r="V255"/>
  <c r="U255"/>
  <c r="V254"/>
  <c r="U254"/>
  <c r="V253"/>
  <c r="U253"/>
  <c r="V252"/>
  <c r="U252"/>
  <c r="V251"/>
  <c r="U251"/>
  <c r="V250"/>
  <c r="U250"/>
  <c r="V249"/>
  <c r="U249"/>
  <c r="V248"/>
  <c r="U248"/>
  <c r="V247"/>
  <c r="U247"/>
  <c r="V246"/>
  <c r="U246"/>
  <c r="V245"/>
  <c r="U245"/>
  <c r="V244"/>
  <c r="U244"/>
  <c r="V243"/>
  <c r="U243"/>
  <c r="V242"/>
  <c r="U242"/>
  <c r="U241"/>
  <c r="V240"/>
  <c r="U240"/>
  <c r="V239"/>
  <c r="U239"/>
  <c r="V238"/>
  <c r="U238"/>
  <c r="U237"/>
  <c r="V236"/>
  <c r="U236"/>
  <c r="V235"/>
  <c r="U235"/>
  <c r="V234"/>
  <c r="U234"/>
  <c r="V233"/>
  <c r="U233"/>
  <c r="V232"/>
  <c r="U232"/>
  <c r="V231"/>
  <c r="U231"/>
  <c r="V230"/>
  <c r="U230"/>
  <c r="V229"/>
  <c r="U229"/>
  <c r="V228"/>
  <c r="U228"/>
  <c r="V227"/>
  <c r="U227"/>
  <c r="V226"/>
  <c r="U226"/>
  <c r="V225"/>
  <c r="U225"/>
  <c r="V224"/>
  <c r="U224"/>
  <c r="V223"/>
  <c r="U223"/>
  <c r="V222"/>
  <c r="U222"/>
  <c r="V221"/>
  <c r="U221"/>
  <c r="V220"/>
  <c r="U220"/>
  <c r="V219"/>
  <c r="U219"/>
  <c r="V218"/>
  <c r="U218"/>
  <c r="V217"/>
  <c r="U217"/>
  <c r="V216"/>
  <c r="U216"/>
  <c r="V215"/>
  <c r="U215"/>
  <c r="V214"/>
  <c r="U214"/>
  <c r="V213"/>
  <c r="U213"/>
  <c r="V212"/>
  <c r="U212"/>
  <c r="V211"/>
  <c r="U211"/>
  <c r="V210"/>
  <c r="U210"/>
  <c r="V209"/>
  <c r="U209"/>
  <c r="V208"/>
  <c r="U208"/>
  <c r="V207"/>
  <c r="U207"/>
  <c r="V206"/>
  <c r="U206"/>
  <c r="U205"/>
  <c r="V204"/>
  <c r="U204"/>
  <c r="V203"/>
  <c r="U203"/>
  <c r="V202"/>
  <c r="U202"/>
  <c r="V201"/>
  <c r="U201"/>
  <c r="V200"/>
  <c r="U200"/>
  <c r="V199"/>
  <c r="U199"/>
  <c r="V198"/>
  <c r="U198"/>
  <c r="V197"/>
  <c r="U197"/>
  <c r="V196"/>
  <c r="U196"/>
  <c r="V195"/>
  <c r="U195"/>
  <c r="V194"/>
  <c r="U194"/>
  <c r="V193"/>
  <c r="U193"/>
  <c r="V192"/>
  <c r="U192"/>
  <c r="V191"/>
  <c r="U191"/>
  <c r="V190"/>
  <c r="U190"/>
  <c r="V187"/>
  <c r="V186"/>
  <c r="U186"/>
  <c r="V185"/>
  <c r="U185"/>
  <c r="V184"/>
  <c r="U184"/>
  <c r="V183"/>
  <c r="U183"/>
  <c r="V182"/>
  <c r="U182"/>
  <c r="V181"/>
  <c r="U181"/>
  <c r="V180"/>
  <c r="U180"/>
  <c r="V179"/>
  <c r="U179"/>
  <c r="V178"/>
  <c r="U178"/>
  <c r="V177"/>
  <c r="U177"/>
  <c r="V176"/>
  <c r="U176"/>
  <c r="V175"/>
  <c r="U175"/>
  <c r="V174"/>
  <c r="U174"/>
  <c r="U173"/>
  <c r="V172"/>
  <c r="U172"/>
  <c r="V171"/>
  <c r="U171"/>
  <c r="V170"/>
  <c r="U170"/>
  <c r="V169"/>
  <c r="U169"/>
  <c r="V168"/>
  <c r="U168"/>
  <c r="V167"/>
  <c r="U167"/>
  <c r="V166"/>
  <c r="U166"/>
  <c r="V165"/>
  <c r="U165"/>
  <c r="V164"/>
  <c r="U164"/>
  <c r="V163"/>
  <c r="U163"/>
  <c r="V162"/>
  <c r="U162"/>
  <c r="V161"/>
  <c r="U161"/>
  <c r="V160"/>
  <c r="U160"/>
  <c r="V159"/>
  <c r="U159"/>
  <c r="V158"/>
  <c r="U158"/>
  <c r="V157"/>
  <c r="U157"/>
  <c r="V156"/>
  <c r="U156"/>
  <c r="V155"/>
  <c r="U155"/>
  <c r="V154"/>
  <c r="U154"/>
  <c r="V153"/>
  <c r="U153"/>
  <c r="V152"/>
  <c r="U152"/>
  <c r="V151"/>
  <c r="U151"/>
  <c r="V150"/>
  <c r="U150"/>
  <c r="V149"/>
  <c r="U149"/>
  <c r="V148"/>
  <c r="U148"/>
  <c r="V147"/>
  <c r="U147"/>
  <c r="V146"/>
  <c r="U146"/>
  <c r="V145"/>
  <c r="U145"/>
  <c r="V144"/>
  <c r="U144"/>
  <c r="V143"/>
  <c r="U143"/>
  <c r="V142"/>
  <c r="V141"/>
  <c r="U141"/>
  <c r="U140"/>
  <c r="V139"/>
  <c r="U139"/>
  <c r="V138"/>
  <c r="U138"/>
  <c r="V137"/>
  <c r="U137"/>
  <c r="U136"/>
  <c r="V135"/>
  <c r="U135"/>
  <c r="V134"/>
  <c r="U134"/>
  <c r="V133"/>
  <c r="U133"/>
  <c r="V132"/>
  <c r="U132"/>
  <c r="V131"/>
  <c r="U131"/>
  <c r="V130"/>
  <c r="U130"/>
  <c r="V129"/>
  <c r="U129"/>
  <c r="V128"/>
  <c r="U128"/>
  <c r="V127"/>
  <c r="U127"/>
  <c r="V126"/>
  <c r="U126"/>
  <c r="V125"/>
  <c r="U125"/>
  <c r="V124"/>
  <c r="U124"/>
  <c r="V123"/>
  <c r="U123"/>
  <c r="V122"/>
  <c r="U122"/>
  <c r="V121"/>
  <c r="U121"/>
  <c r="V120"/>
  <c r="U120"/>
  <c r="V119"/>
  <c r="U119"/>
  <c r="V118"/>
  <c r="U118"/>
  <c r="V117"/>
  <c r="U117"/>
  <c r="V116"/>
  <c r="U116"/>
  <c r="V115"/>
  <c r="U115"/>
  <c r="V114"/>
  <c r="U114"/>
  <c r="V113"/>
  <c r="U113"/>
  <c r="V112"/>
  <c r="U112"/>
  <c r="V111"/>
  <c r="U111"/>
  <c r="V110"/>
  <c r="U110"/>
  <c r="V109"/>
  <c r="U109"/>
  <c r="V108"/>
  <c r="U108"/>
  <c r="V107"/>
  <c r="U107"/>
  <c r="V106"/>
  <c r="U106"/>
  <c r="V105"/>
  <c r="U105"/>
  <c r="V104"/>
  <c r="U104"/>
  <c r="V103"/>
  <c r="U103"/>
  <c r="V102"/>
  <c r="U102"/>
  <c r="V101"/>
  <c r="U101"/>
  <c r="V100"/>
  <c r="U100"/>
  <c r="V99"/>
  <c r="U99"/>
  <c r="V98"/>
  <c r="U98"/>
  <c r="V97"/>
  <c r="U97"/>
  <c r="V96"/>
  <c r="U96"/>
  <c r="V95"/>
  <c r="U95"/>
  <c r="V94"/>
  <c r="U94"/>
  <c r="V93"/>
  <c r="U93"/>
  <c r="V92"/>
  <c r="U92"/>
  <c r="V91"/>
  <c r="U91"/>
  <c r="V89"/>
  <c r="U89"/>
  <c r="V88"/>
  <c r="U88"/>
  <c r="V87"/>
  <c r="U87"/>
  <c r="V86"/>
  <c r="U86"/>
  <c r="V85"/>
  <c r="U85"/>
  <c r="V84"/>
  <c r="U84"/>
  <c r="V83"/>
  <c r="U83"/>
  <c r="V82"/>
  <c r="U82"/>
  <c r="V81"/>
  <c r="U81"/>
  <c r="V80"/>
  <c r="U80"/>
  <c r="V79"/>
  <c r="U79"/>
  <c r="V78"/>
  <c r="U78"/>
  <c r="V77"/>
  <c r="U77"/>
  <c r="V76"/>
  <c r="U76"/>
  <c r="V75"/>
  <c r="U75"/>
  <c r="V74"/>
  <c r="U74"/>
  <c r="V73"/>
  <c r="U73"/>
  <c r="V72"/>
  <c r="U72"/>
  <c r="V71"/>
  <c r="U71"/>
  <c r="V70"/>
  <c r="U70"/>
  <c r="U69"/>
  <c r="V68"/>
  <c r="U68"/>
  <c r="V67"/>
  <c r="U67"/>
  <c r="V66"/>
  <c r="U66"/>
  <c r="V65"/>
  <c r="U65"/>
  <c r="U64"/>
  <c r="V63"/>
  <c r="U63"/>
  <c r="V62"/>
  <c r="U62"/>
  <c r="V61"/>
  <c r="U61"/>
  <c r="V60"/>
  <c r="U60"/>
  <c r="V59"/>
  <c r="U59"/>
  <c r="V58"/>
  <c r="U58"/>
  <c r="V57"/>
  <c r="U57"/>
  <c r="V56"/>
  <c r="U56"/>
  <c r="V55"/>
  <c r="U55"/>
  <c r="V54"/>
  <c r="U54"/>
  <c r="V53"/>
  <c r="U53"/>
  <c r="V52"/>
  <c r="U52"/>
  <c r="V51"/>
  <c r="U51"/>
  <c r="V50"/>
  <c r="U50"/>
  <c r="V49"/>
  <c r="U49"/>
  <c r="V48"/>
  <c r="U48"/>
  <c r="V47"/>
  <c r="U47"/>
  <c r="V46"/>
  <c r="U46"/>
  <c r="V45"/>
  <c r="U45"/>
  <c r="V44"/>
  <c r="V43"/>
  <c r="U43"/>
  <c r="V42"/>
  <c r="U42"/>
  <c r="V41"/>
  <c r="U41"/>
  <c r="V40"/>
  <c r="U40"/>
  <c r="V39"/>
  <c r="U39"/>
  <c r="V38"/>
  <c r="U38"/>
  <c r="V37"/>
  <c r="U37"/>
  <c r="V36"/>
  <c r="U36"/>
  <c r="V35"/>
  <c r="U35"/>
  <c r="V34"/>
  <c r="U34"/>
  <c r="V33"/>
  <c r="U33"/>
  <c r="V32"/>
  <c r="U32"/>
  <c r="V31"/>
  <c r="U31"/>
  <c r="V30"/>
  <c r="U30"/>
  <c r="V29"/>
  <c r="U29"/>
  <c r="V28"/>
  <c r="U28"/>
  <c r="V27"/>
  <c r="U27"/>
  <c r="V26"/>
  <c r="U26"/>
  <c r="V25"/>
  <c r="U25"/>
  <c r="V24"/>
  <c r="U24"/>
  <c r="V23"/>
  <c r="U23"/>
  <c r="V22"/>
  <c r="U22"/>
  <c r="V21"/>
  <c r="U21"/>
  <c r="V20"/>
  <c r="U20"/>
  <c r="V19"/>
  <c r="U19"/>
  <c r="V18"/>
  <c r="U18"/>
  <c r="V17"/>
  <c r="U17"/>
  <c r="V16"/>
  <c r="U16"/>
  <c r="V15"/>
  <c r="U15"/>
  <c r="V14"/>
  <c r="U14"/>
  <c r="V13"/>
  <c r="U13"/>
  <c r="V12"/>
  <c r="U12"/>
  <c r="V11"/>
  <c r="U11"/>
  <c r="V10"/>
  <c r="U10"/>
  <c r="V9"/>
  <c r="U9"/>
  <c r="V8"/>
  <c r="U8"/>
  <c r="A5"/>
  <c r="A4"/>
</calcChain>
</file>

<file path=xl/sharedStrings.xml><?xml version="1.0" encoding="utf-8"?>
<sst xmlns="http://schemas.openxmlformats.org/spreadsheetml/2006/main" count="21632" uniqueCount="8233">
  <si>
    <t>ИНФРА-М Научно-издательский Центр</t>
  </si>
  <si>
    <t>15. Юриспруденция (для учебных заведений и библиотек)
от 31.10.2023</t>
  </si>
  <si>
    <t>Данный прайс-лист не является публичной офертой</t>
  </si>
  <si>
    <t>127214, Москва г, Полярная ул, дом № 31 В, строение 1 эт.3 пом.I.к.9Б</t>
  </si>
  <si>
    <t>Издательство оставляет за собой право на изменение ассортимента и цен на издания.
Информацию о наличии товара и актуальные цены уточняйте у вашего курирующего менеджера 
или напишите нам на электронную почту books@infra-m.ru</t>
  </si>
  <si>
    <t>тел/факс: +7 (495) 280-15-96</t>
  </si>
  <si>
    <t>Заказ</t>
  </si>
  <si>
    <t>Код</t>
  </si>
  <si>
    <t>Цена опт.</t>
  </si>
  <si>
    <t>Наименование товара</t>
  </si>
  <si>
    <t>Основное заглавие</t>
  </si>
  <si>
    <t>Авторы</t>
  </si>
  <si>
    <t>Оформление</t>
  </si>
  <si>
    <t>Издательство</t>
  </si>
  <si>
    <t>Серия</t>
  </si>
  <si>
    <t>Ст-т</t>
  </si>
  <si>
    <t>Стр.</t>
  </si>
  <si>
    <t>Год</t>
  </si>
  <si>
    <t>ISBN</t>
  </si>
  <si>
    <t>Раздел</t>
  </si>
  <si>
    <t>Подраздел</t>
  </si>
  <si>
    <t>Вид издания</t>
  </si>
  <si>
    <t>Уровень образования</t>
  </si>
  <si>
    <t>ОКСО</t>
  </si>
  <si>
    <t>Гриф МО</t>
  </si>
  <si>
    <t>Доп. мат. на znanium.com</t>
  </si>
  <si>
    <t>Обложка</t>
  </si>
  <si>
    <t>ЭБС Znanium.com</t>
  </si>
  <si>
    <t>Аффилиация автора</t>
  </si>
  <si>
    <t>Новинка месяца</t>
  </si>
  <si>
    <t>ПООП</t>
  </si>
  <si>
    <t>К</t>
  </si>
  <si>
    <t>Ш</t>
  </si>
  <si>
    <t>672416.07.01</t>
  </si>
  <si>
    <t>"Цветные революции" и "Арабская весна" в конституц. измер./Т.Я.Хабриева-М.:Юр.Норма,НИЦ ИНФРА-М,2023-192с(п)</t>
  </si>
  <si>
    <t>"ЦВЕТНЫЕ РЕВОЛЮЦИИ" И "АРАБСКАЯ ВЕСНА" В КОНСТИТУЦИОННОМ ИЗМЕРЕНИИ: ПОЛИТОЛОГО-ЮРИДИЧЕСКОЕ ИССЛЕДОВАНИЕ</t>
  </si>
  <si>
    <t>Хабриева Т.Я., Чиркин В.Е.</t>
  </si>
  <si>
    <t>Переплет 7БЦ/Без шитья</t>
  </si>
  <si>
    <t>Юр. НОРМА</t>
  </si>
  <si>
    <t>978-5-91768-880-0</t>
  </si>
  <si>
    <t>ОБЩЕСТВЕННЫЕ НАУКИ.  ЭКОНОМИКА. ПРАВО</t>
  </si>
  <si>
    <t>Право. Юридические науки</t>
  </si>
  <si>
    <t>Монография</t>
  </si>
  <si>
    <t>Дополнительное образование / Дополнительное профессиональное образование</t>
  </si>
  <si>
    <t>41.03.04, 40.03.01, 41.04.04, 40.04.01, 40.05.01, 40.05.02</t>
  </si>
  <si>
    <t>Институт законодательства и сравнительного правоведения при Правительстве Российской Федерации</t>
  </si>
  <si>
    <t>0118</t>
  </si>
  <si>
    <t>450804.0026.01</t>
  </si>
  <si>
    <t>Advances in Law Studies, 2017, № 4</t>
  </si>
  <si>
    <t>ADVANCES IN LAW STUDIES, 2017, № 4</t>
  </si>
  <si>
    <t>Стародубцев Г.С. под ред.</t>
  </si>
  <si>
    <t>Обложка. КБС</t>
  </si>
  <si>
    <t>ИЦ РИОР</t>
  </si>
  <si>
    <t>Журнал</t>
  </si>
  <si>
    <t>757761.01.01</t>
  </si>
  <si>
    <t>TEN LECTURES ON LAW: Монография / В.Д.Зорькин - М.:Юр.Норма, НИЦ ИНФРА-М,2021 - 344 с.(П)</t>
  </si>
  <si>
    <t>TEN LECTURES ON LAW</t>
  </si>
  <si>
    <t>Зорькин В.Д.</t>
  </si>
  <si>
    <t>Переплет 7БЦ</t>
  </si>
  <si>
    <t>978-5-00156-174-3</t>
  </si>
  <si>
    <t>40.05.04, 40.03.01, 40.04.01, 40.05.01, 40.05.02, 40.05.03, 40.06.01</t>
  </si>
  <si>
    <t>Конституционный суд Российской Федерации</t>
  </si>
  <si>
    <t>0121</t>
  </si>
  <si>
    <t>756460.03.01</t>
  </si>
  <si>
    <t>Thematic commentary to the Law of the Russian Federation: коммент. / T.Y.Khabrieva - М.:Юр.Норма,2022 - 216 с.(П)</t>
  </si>
  <si>
    <t>THEMATIC COMMENTARY TO THE LAW OF THE RUSSIAN FEDERATION AMENDING THE CONSTITUTION OF THE RUSSIAN FEDERATION OF MARCH 14, 2020 NO. 1-FKZ «ON IMPROVING</t>
  </si>
  <si>
    <t>Khabrieva T.Y.</t>
  </si>
  <si>
    <t>978-5-00156-167-5</t>
  </si>
  <si>
    <t>Комментарий</t>
  </si>
  <si>
    <t>40.04.01, 40.06.01</t>
  </si>
  <si>
    <t>714069.04.01</t>
  </si>
  <si>
    <t>Автономия воли в регулиров. межд. отнош..: Уч.пос./Ю.Базедов-М.:Юр.Норма, НИЦ ИНФРА-М,2023-136с(П)</t>
  </si>
  <si>
    <t>АВТОНОМИЯ ВОЛИ В РЕГУЛИРОВАНИИ МЕЖДУНАРОДНЫХ ОТНОШЕНИЙ. К ОБЩЕМУ КУРСУ МЕЖДУНАРОДНОГО ЧАСТНОГО ПРАВА</t>
  </si>
  <si>
    <t>Базедов Ю.</t>
  </si>
  <si>
    <t>978-5-00156-008-1</t>
  </si>
  <si>
    <t>Учебное пособие</t>
  </si>
  <si>
    <t>Профессиональное образование / ВО - Бакалавриат</t>
  </si>
  <si>
    <t>40.05.04, 40.03.01, 40.05.01, 40.05.02, 40.05.03</t>
  </si>
  <si>
    <t>Институт государства и права Российской академии наук</t>
  </si>
  <si>
    <t>0119</t>
  </si>
  <si>
    <t>632561.04.01</t>
  </si>
  <si>
    <t>Аграрное законодательство зарубежных стран и России: Моногр. / Е.Л.Минина-М.:НИЦ ИНФРА-М, 2023-320с.</t>
  </si>
  <si>
    <t>АГРАРНОЕ ЗАКОНОДАТЕЛЬСТВО ЗАРУБЕЖНЫХ СТРАН И РОССИИ</t>
  </si>
  <si>
    <t>Минина Е.Л.</t>
  </si>
  <si>
    <t>НИЦ ИНФРА-М</t>
  </si>
  <si>
    <t>ИЗиСП</t>
  </si>
  <si>
    <t>978-5-16-011997-7</t>
  </si>
  <si>
    <t>40.03.01, 38.03.04</t>
  </si>
  <si>
    <t>0116</t>
  </si>
  <si>
    <t>769208.01.01</t>
  </si>
  <si>
    <t>Административная деят. орг. внутр. дел: Уч. / Под ред. Костенникова М.В.-М.:НИЦ ИНФРА-М,2024.-376 с.(СПО)(п)</t>
  </si>
  <si>
    <t>АДМИНИСТРАТИВНАЯ ДЕЯТЕЛЬНОСТЬ ОРГАНОВ ВНУТРЕННИХ ДЕЛ</t>
  </si>
  <si>
    <t>Адмиралова И.А., Алимова Е.Н., Василенко Г.Н. и др.</t>
  </si>
  <si>
    <t>Среднее профессиональное образование</t>
  </si>
  <si>
    <t>978-5-16-017355-9</t>
  </si>
  <si>
    <t>Учебник</t>
  </si>
  <si>
    <t>Профессиональное образование / Среднее профессиональное образование</t>
  </si>
  <si>
    <t>40.05.02</t>
  </si>
  <si>
    <t>Всероссийский институт повышения квалификации сотрудников Министерства внутренних дел Российской Федерации</t>
  </si>
  <si>
    <t>Август, 2023</t>
  </si>
  <si>
    <t>0124</t>
  </si>
  <si>
    <t>708072.05.01</t>
  </si>
  <si>
    <t>Административная ответств. в ряде стран Европы: Моногр. / Е.В.Зенькович-М.:Юр.Норма, НИЦ ИНФРА-М,2023-128 с.(П)</t>
  </si>
  <si>
    <t>АДМИНИСТРАТИВНАЯ ОТВЕТСТВЕННОСТЬ В РЯДЕ СТРАН ЕВРОПЫ: СРАВНИТЕЛЬНОЕ ИССЛЕДОВАНИЕ</t>
  </si>
  <si>
    <t>Зенькович Е.В.</t>
  </si>
  <si>
    <t>978-5-91768-657-8</t>
  </si>
  <si>
    <t>46.03.02, 40.03.01, 40.04.01, 40.05.02, 38.03.04, 44.03.05</t>
  </si>
  <si>
    <t>-</t>
  </si>
  <si>
    <t>740839.04.01</t>
  </si>
  <si>
    <t>Административная ответственность: Уч.пос. / Б.В.Россинский - М.:Юр.Норма, НИЦ ИНФРА-М,2022 - 248 с.(П)</t>
  </si>
  <si>
    <t>АДМИНИСТРАТИВНАЯ ОТВЕТСТВЕННОСТЬ</t>
  </si>
  <si>
    <t>Россинский Б.В.</t>
  </si>
  <si>
    <t>978-5-00156-080-7</t>
  </si>
  <si>
    <t>40.03.01</t>
  </si>
  <si>
    <t>Московский государственный юридический университет им. О.Е. Кутафина</t>
  </si>
  <si>
    <t>0120</t>
  </si>
  <si>
    <t>699371.07.01</t>
  </si>
  <si>
    <t>Административно-деликтное право: Уч.пос. /  Под ред. Хазанова С.Д.-М.:НИЦ ИНФРА-М,2024-293 с.(ВО)(п)</t>
  </si>
  <si>
    <t>АДМИНИСТРАТИВНО-ДЕЛИКТНОЕ ПРАВО</t>
  </si>
  <si>
    <t>Аникеенко Ю.Б., Новоселова Н.В., Хазанов С.Д.</t>
  </si>
  <si>
    <t>Высшее образование</t>
  </si>
  <si>
    <t>978-5-16-019209-3</t>
  </si>
  <si>
    <t>40.05.04, 40.03.01, 40.04.01, 40.05.01, 40.05.02, 40.05.03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</si>
  <si>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17 от 11.11.2019)</t>
  </si>
  <si>
    <t>Уральский государственный юридический университет имени В.Ф. Яковлева</t>
  </si>
  <si>
    <t>687306.02.01</t>
  </si>
  <si>
    <t>Административно-деликтный процесс: надзор и пересмотр.: Моногр./А.В.Новиков-М.:Юр.Норма, НИЦ ИНФРА-М,2019-160с(П)</t>
  </si>
  <si>
    <t>АДМИНИСТРАТИВНО-ДЕЛИКТНЫЙ ПРОЦЕСС: НАДЗОР И ПЕРЕСМОТР ПО НОВЫМ И ВНОВЬ ОТКРЫВШИМСЯ ОБСТОЯТЕЛЬСТВАМ</t>
  </si>
  <si>
    <t>Новиков А.В.</t>
  </si>
  <si>
    <t>978-5-91768-947-0</t>
  </si>
  <si>
    <t>40.02.01, 40.02.02, 46.03.02, 40.03.01, 40.04.01, 40.05.02, 38.03.04, 44.03.05, 40.02.03</t>
  </si>
  <si>
    <t>683246.05.01</t>
  </si>
  <si>
    <t>Административное право и админ. ответ.: Уч. пос. / Б.В.Россинский - 2 изд.-М.:Юр.Норма, НИЦ ИНФРА-М,2024-352 с.(П)</t>
  </si>
  <si>
    <t>АДМИНИСТРАТИВНОЕ ПРАВО И АДМИНИСТРАТИВНАЯ ОТВЕТСТВЕННОСТЬ, ИЗД.2</t>
  </si>
  <si>
    <t>978-5-00156-306-8</t>
  </si>
  <si>
    <t>40.02.03</t>
  </si>
  <si>
    <t>32</t>
  </si>
  <si>
    <t>0223</t>
  </si>
  <si>
    <t>657371.13.01</t>
  </si>
  <si>
    <t>Административное право и админ. ответств... / Б.В.Россинский-2 изд.-М.:Юр.Норма, НИЦ ИНФРА-М,2024-352 с.(П)</t>
  </si>
  <si>
    <t>978-5-00156-188-0</t>
  </si>
  <si>
    <t>Курс лекций</t>
  </si>
  <si>
    <t>40.05.04, 40.02.01, 40.02.02, 46.03.02, 40.03.01, 40.04.01, 40.05.01, 40.05.02, 40.05.03, 38.03.04, 44.03.05, 40.02.03</t>
  </si>
  <si>
    <t>0222</t>
  </si>
  <si>
    <t>657371.07.01</t>
  </si>
  <si>
    <t>Административное право и админ.ответ.: Курс лекций /Б.В.Россинский-М.:Юр.Норма,НИЦ ИНФРА-М,2021-352с(П)</t>
  </si>
  <si>
    <t>АДМИНИСТРАТИВНОЕ ПРАВО И АДМИНИСТРАТИВНАЯ ОТВЕТСТВЕННОСТЬ</t>
  </si>
  <si>
    <t>978-5-91768-842-8</t>
  </si>
  <si>
    <t>0117</t>
  </si>
  <si>
    <t>683246.03.01</t>
  </si>
  <si>
    <t>Административное право и административная ответственность. Уч.пос.: уч.пос. / Б.В.Россинский-М.:Юр.Норма, НИЦ ИНФРА-М,2021.-352 с..-(Среднее п</t>
  </si>
  <si>
    <t>978-5-91768-927-2</t>
  </si>
  <si>
    <t>683260.02.01</t>
  </si>
  <si>
    <t>Административное право России: Уч. / С.Н.Братановский - М.:ИЦ РИОР, НИЦ ИНФРА-М,2019.-499 с.(ВО)(П)</t>
  </si>
  <si>
    <t>АДМИНИСТРАТИВНОЕ ПРАВО РОССИИ</t>
  </si>
  <si>
    <t>Братановский С.Н., Братановская М.С., Конджакулян К.М.</t>
  </si>
  <si>
    <t>978-5-369-01798-2</t>
  </si>
  <si>
    <t>Профессиональное образование / ВО - Магистратура</t>
  </si>
  <si>
    <t>Российский экономический университет им. Г.В. Плеханова</t>
  </si>
  <si>
    <t>683260.04.01</t>
  </si>
  <si>
    <t>Административное право России: Уч. / С.Н.Братановский-2 изд.-М.:ИЦ РИОР, НИЦ ИНФРА-М,2023-285с.(ВО)(п)</t>
  </si>
  <si>
    <t>АДМИНИСТРАТИВНОЕ ПРАВО РОССИИ, ИЗД.2</t>
  </si>
  <si>
    <t>978-5-369-01927-6</t>
  </si>
  <si>
    <t>485600.07.01</t>
  </si>
  <si>
    <t>Административное право РФ: Уч. для бак. / А.Ю.Соколов - 2изд.-М.:Юр.Норма,НИЦ ИНФРА-М,2018-352с(П)</t>
  </si>
  <si>
    <t>АДМИНИСТРАТИВНОЕ ПРАВО РФ, ИЗД.2</t>
  </si>
  <si>
    <t>Соколов А.Ю.</t>
  </si>
  <si>
    <t>978-5-91768-931-9</t>
  </si>
  <si>
    <t>40.05.04, 40.02.01, 40.02.02, 40.03.01, 40.05.01, 40.05.02, 40.05.03, 40.02.03</t>
  </si>
  <si>
    <t>Допущено Учебно-методическим советом по образованию в области юриспруденции Приволжского федерального округа в качестве учебника для студентов и преподавателей высших учебных заведений Приволжского федерального округа, реализующих образовательные программы по направлению подготовки 030900 «Юриспруденция» (квалификация (степень) «бакалавр»)</t>
  </si>
  <si>
    <t>Саратовская государственная юридическая академия</t>
  </si>
  <si>
    <t>0218</t>
  </si>
  <si>
    <t>485600.03.01</t>
  </si>
  <si>
    <t>Административное право РФ: Уч.для бакалавров / А.Ю.Соколов - М.:Юр.Норма,НИЦ ИНФРА-М,2017 - 352с.(п)</t>
  </si>
  <si>
    <t>АДМИНИСТРАТИВНОЕ ПРАВО РФ</t>
  </si>
  <si>
    <t>978-5-91768-717-9</t>
  </si>
  <si>
    <t>757760.02.01</t>
  </si>
  <si>
    <t>Административное право. Практикум: Уч.пос. / С.Н.Зайкова - М.:НИЦ ИНФРА-М,2023 - 181 с.-(СПО)(П)</t>
  </si>
  <si>
    <t>АДМИНИСТРАТИВНОЕ ПРАВО. ПРАКТИКУМ</t>
  </si>
  <si>
    <t>Зайкова С.Н.</t>
  </si>
  <si>
    <t>978-5-16-016909-5</t>
  </si>
  <si>
    <t>40.02.01, 40.02.02, 40.02.03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</si>
  <si>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12 от 14.12.2020)</t>
  </si>
  <si>
    <t>695785.04.01</t>
  </si>
  <si>
    <t>Административное право. Практикум: Уч.пос. / С.Н.Зайкова-М.:НИЦ ИНФРА-М,2023.-181 с.(ВО: Бакалавр.)(П)</t>
  </si>
  <si>
    <t>Высшее образование: Бакалавриат</t>
  </si>
  <si>
    <t>978-5-16-014664-5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</si>
  <si>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4 от 02.03.2020)</t>
  </si>
  <si>
    <t>078380.21.01</t>
  </si>
  <si>
    <t>Административное право: Уч. / А.Н.Миронов - 3 изд. - М.:ИД ФОРУМ, НИЦ ИНФРА-М,2022 - 320 с.(П)</t>
  </si>
  <si>
    <t>АДМИНИСТРАТИВНОЕ ПРАВО, ИЗД.3</t>
  </si>
  <si>
    <t>Миронов А.Н.</t>
  </si>
  <si>
    <t>ИД Форум</t>
  </si>
  <si>
    <t>978-5-8199-0726-9</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</si>
  <si>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</si>
  <si>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Российская академия народного хозяйства и государственной службы при Президенте РФ</t>
  </si>
  <si>
    <t>0314</t>
  </si>
  <si>
    <t>078380.23.01</t>
  </si>
  <si>
    <t>Административное право: Уч. / А.Н.Миронов - 4 изд.- М.:НИЦ ИНФРА-М,2023 - 333 с..-(СПО)(п)</t>
  </si>
  <si>
    <t>АДМИНИСТРАТИВНОЕ ПРАВО, ИЗД.4</t>
  </si>
  <si>
    <t>978-5-16-016327-7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</si>
  <si>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11 от 09.11.2020)</t>
  </si>
  <si>
    <t>0421</t>
  </si>
  <si>
    <t>102000.18.01</t>
  </si>
  <si>
    <t>Административное право: Уч. / Под ред. Л.Л.Попова - 3изд. - М.:Юр.Норма,НИЦ ИНФРА-М,2023-736с.(п)</t>
  </si>
  <si>
    <t>Попов Л.Л., Студеникина М.С.</t>
  </si>
  <si>
    <t>978-5-00156-083-8</t>
  </si>
  <si>
    <t>40.05.04, 40.02.01, 40.02.02, 46.03.02, 40.03.01, 40.05.01, 40.05.02, 40.05.03, 38.03.04, 44.03.05, 40.02.03</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</si>
  <si>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</si>
  <si>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0320</t>
  </si>
  <si>
    <t>102000.12.01</t>
  </si>
  <si>
    <t>Административное право: Уч. / Под ред. Попова Л.Л. - 2 изд. - М.:Юр.Норма,ИНФРА-М,2019 - 704 с.(П)</t>
  </si>
  <si>
    <t>АДМИНИСТРАТИВНОЕ ПРАВО, ИЗД.2</t>
  </si>
  <si>
    <t>Попов Л. Л., Студеникина М. С.</t>
  </si>
  <si>
    <t>978-5-91768-690-5</t>
  </si>
  <si>
    <t>0216</t>
  </si>
  <si>
    <t>690226.03.01</t>
  </si>
  <si>
    <t>Административное право: Уч.пос. / Т.И.Губарева - М.:НИЦ ИНФРА-М,2023 - 481 с.(СПО)(П)</t>
  </si>
  <si>
    <t>АДМИНИСТРАТИВНОЕ ПРАВО</t>
  </si>
  <si>
    <t>Губарева Т.И., Трусов А.И.</t>
  </si>
  <si>
    <t>978-5-16-014475-7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</si>
  <si>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4 от 21.04.2021)</t>
  </si>
  <si>
    <t>Краснодарский университет  Министерства внутренних дел Российской Федерации, Ставропольский ф-л</t>
  </si>
  <si>
    <t>069180.07.01</t>
  </si>
  <si>
    <t>Административное право: Шпаргалка - 7изд.-М.:ИЦ РИОР,2016-151с.(Шпаргалка [отрывная])(о)</t>
  </si>
  <si>
    <t>АДМИНИСТРАТИВНОЕ ПРАВО, ИЗД.7</t>
  </si>
  <si>
    <t>Шпаргалка [отрывная]</t>
  </si>
  <si>
    <t>978-5-369-01498-1</t>
  </si>
  <si>
    <t>Шпаргалка</t>
  </si>
  <si>
    <t>0716</t>
  </si>
  <si>
    <t>683425.04.01</t>
  </si>
  <si>
    <t>Административное судопроизводство: Уч. / Под ред. Смагиной Е.С.-М.:НИЦ ИНФРА-М,2023.-483 с.(ВО)(П)</t>
  </si>
  <si>
    <t>АДМИНИСТРАТИВНОЕ СУДОПРОИЗВОДСТВО</t>
  </si>
  <si>
    <t>Власенко В.А., Зиновьева О.П., Невский И.А. и др.</t>
  </si>
  <si>
    <t>978-5-16-014384-2</t>
  </si>
  <si>
    <t>40.05.04, 40.02.01, 40.02.02, 40.03.01, 40.04.01, 40.05.01, 40.05.02, 40.05.03, 40.02.03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</si>
  <si>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4 от 25.02.2019)</t>
  </si>
  <si>
    <t>Южный федеральный университет</t>
  </si>
  <si>
    <t>696633.03.01</t>
  </si>
  <si>
    <t>Административное судопроизводство: Уч.пос. / Ю.Н.Старилов - М.:Юр.Норма,НИЦ ИНФРА-М,2020 - 496 с.(П)</t>
  </si>
  <si>
    <t>Старилов Ю.Н., Рогачева О.С., Махина С.Н.</t>
  </si>
  <si>
    <t>978-5-91768-979-1</t>
  </si>
  <si>
    <t>Воронежский государственный университет</t>
  </si>
  <si>
    <t>696633.04.01</t>
  </si>
  <si>
    <t>Административное судопроизводство: уч.пос. / Ю.Н.Старилов и др.,- 2-е изд.-М.:Юр. НОРМА, НИЦ ИНФРА-М,2023.-624 с.(П)</t>
  </si>
  <si>
    <t>АДМИНИСТРАТИВНОЕ СУДОПРОИЗВОДСТВО, ИЗД.2</t>
  </si>
  <si>
    <t>978-5-00156-263-4</t>
  </si>
  <si>
    <t>740823.02.01</t>
  </si>
  <si>
    <t>Административно-прав. защита прав и законных интересов граждан/ Ю.Г.Федотова-М.:НИЦ ИНФРА-М,2024.-330 с.(О)</t>
  </si>
  <si>
    <t>АДМИНИСТРАТИВНО-ПРАВОВАЯ ЗАЩИТА ПРАВ И ЗАКОННЫХ ИНТЕРЕСОВ ГРАЖДАН В СФЕРЕ ОБЕСПЕЧЕНИЯ ОБОРОНЫ И БЕЗОПАСНОСТИ РОССИЙСКОЙ ФЕДЕРАЦИИ</t>
  </si>
  <si>
    <t>Федотова Ю.Г.</t>
  </si>
  <si>
    <t>Научная мысль</t>
  </si>
  <si>
    <t>978-5-16-016356-7</t>
  </si>
  <si>
    <t>40.05.04, 40.03.01, 40.04.01, 40.05.01, 40.06.01</t>
  </si>
  <si>
    <t>706543.03.01</t>
  </si>
  <si>
    <t>Административно-прав. обесп. безоп. дорожного движ. в РФ:Моногр./П.Молчанов-М.:Юр.Норма,2023-248с(П)</t>
  </si>
  <si>
    <t>АДМИНИСТРАТИВНО-ПРАВОВОЕ ОБЕСПЕЧЕНИЕ БЕЗОПАСНОСТИ ДОРОЖНОГО ДВИЖЕНИЯ В РФ</t>
  </si>
  <si>
    <t>Молчанов П.В.</t>
  </si>
  <si>
    <t>978-5-91768-642-4</t>
  </si>
  <si>
    <t>726673.04.01</t>
  </si>
  <si>
    <t>Административно-правовые аспекты гос. упр. в России...: Моногр. /Россинский Б.В.-М.:Юр.Норма,НИЦ ИНФРА-М,2023-168 с.(П)</t>
  </si>
  <si>
    <t>АДМИНИСТРАТИВНО-ПРАВОВЫЕ АСПЕКТЫ ГОСУДАРСТВЕННОГО УПРАВЛЕНИЯ В РОССИИ: СИСТЕМНЫЕ ПОДХОДЫ</t>
  </si>
  <si>
    <t>978-5-00156-042-5</t>
  </si>
  <si>
    <t>40.03.01, 40.04.01, 38.04.04, 40.06.01, 38.03.04</t>
  </si>
  <si>
    <t>670764.05.01</t>
  </si>
  <si>
    <t>Административно-правовые формы и методы...: Уч.пос./ М.М.Поляков-М.:Юр.Норма, НИЦ ИНФРА-М,2023.-128с</t>
  </si>
  <si>
    <t>АДМИНИСТРАТИВНО-ПРАВОВЫЕ ФОРМЫ И МЕТОДЫ ПРОТИВОДЕЙСТВИЯ КОРРУПЦИИ</t>
  </si>
  <si>
    <t>Нечевин Д.К., Поляков М.М.</t>
  </si>
  <si>
    <t>978-5-91768-873-2</t>
  </si>
  <si>
    <t>128250.10.01</t>
  </si>
  <si>
    <t>Административно-процес. право: Уч.пос. / А.Н.Миронов - 2 изд. -М.:Форум,НИЦ ИНФРА-М,2023-169с.-(СПО)</t>
  </si>
  <si>
    <t>АДМИНИСТРАТИВНО-ПРОЦЕССУАЛЬНОЕ ПРАВО, ИЗД.2</t>
  </si>
  <si>
    <t>Форум</t>
  </si>
  <si>
    <t>978-5-00091-478-6</t>
  </si>
  <si>
    <t>40.02.01, 40.02.02, 46.03.02, 40.03.01, 40.05.02, 38.03.04, 44.03.05, 40.02.03</t>
  </si>
  <si>
    <t>Рекомендовано Учебно-методическим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</si>
  <si>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648401.10.01</t>
  </si>
  <si>
    <t>Административные процедуры: Монография / Л.Л.Попов-М.:Юр.Норма, НИЦ ИНФРА-М,2023.-240 с.(П)</t>
  </si>
  <si>
    <t>АДМИНИСТРАТИВНЫЕ ПРОЦЕДУРЫ</t>
  </si>
  <si>
    <t>Попов Л.Л.</t>
  </si>
  <si>
    <t>978-5-91768-806-0</t>
  </si>
  <si>
    <t>46.03.02, 40.03.01, 38.03.04, 44.03.05</t>
  </si>
  <si>
    <t>417750.03.01</t>
  </si>
  <si>
    <t>Аккредитивное правоотношение..: Моногр. /К.В.Карашев-М.:ИЦ РИОР,НИЦ ИНФРА-М,2017-263с(Науч.мысль)(О)</t>
  </si>
  <si>
    <t>АККРЕДИТИВНОЕ ПРАВООТНОШЕНИЕ: ПОНЯТИЕ, СУЩНОСТЬ, СРАВНИТЕЛЬНО-ПРАВОВОЙ АНАЛИЗ</t>
  </si>
  <si>
    <t>Карашев К. В.</t>
  </si>
  <si>
    <t>978-5-369-01171-3</t>
  </si>
  <si>
    <t>40.03.01, 40.04.01, 38.04.01, 38.03.01, 44.03.05</t>
  </si>
  <si>
    <t>Государственная Дума Федерального Собрания Российской Федерации</t>
  </si>
  <si>
    <t>0113</t>
  </si>
  <si>
    <t>377400.01.01</t>
  </si>
  <si>
    <t>Актуальные направл. анализа права и правов.../ Отв.ред. В.Г.Графский-М:Норма,НИЦ ИНФРА-М,2015-224с(О)</t>
  </si>
  <si>
    <t>АКТУАЛЬНЫЕ НАПРАВЛЕНИЯ АНАЛИЗА ПРАВА И ПРАВОВЕДЕНИЯ: ПРОБЛЕМА МЕЖДИСЦИПЛИНАРНОГО ПОНИМАНИЯ И СОТРУДНИЧЕСТВА</t>
  </si>
  <si>
    <t>Графский В.Г.</t>
  </si>
  <si>
    <t>978-5-91768-634-9</t>
  </si>
  <si>
    <t>Сборник научных трудов</t>
  </si>
  <si>
    <t>Дополнительное образование / Дополнительное профессиональное образование / ДПО - повышение квалификации</t>
  </si>
  <si>
    <t>40.03.01, 40.04.01, 40.05.02</t>
  </si>
  <si>
    <t>0115</t>
  </si>
  <si>
    <t>746318.04.01</t>
  </si>
  <si>
    <t>Актуальные пробл. блокчейн-технологий в..: Уч.пос. / Л.Л.Арзуманова.-М.:Юр.Норма, НИЦ ИНФРА-М,2023.-96 с.(О)</t>
  </si>
  <si>
    <t>АКТУАЛЬНЫЕ ПРОБЛЕМЫ БЛОКЧЕЙН-ТЕХНОЛОГИЙ В ФИНАНСОВОМ ПРАВЕ</t>
  </si>
  <si>
    <t>Арзуманова Л.Л., Грачева Е.Ю., Чернобровкина Е.Б. и др.</t>
  </si>
  <si>
    <t>978-5-00156-108-8</t>
  </si>
  <si>
    <t>40.03.01, 40.04.01</t>
  </si>
  <si>
    <t>081000.08.01</t>
  </si>
  <si>
    <t>Актуальные пробл. борьбы с коррупцией и орг. преступ... / П.А.Скобликов-М.:Юр. НОРМА, НИЦ ИНФРА-М,2023-272с(О)</t>
  </si>
  <si>
    <t>АКТУАЛЬНЫЕ ПРОБЛЕМЫ БОРЬБЫ С КОРРУПЦИЕЙ И ОРГАНИЗОВАННОЙ ПРЕСТУПНОСТЬЮ В СОВРЕМЕННОЙ РОССИИ</t>
  </si>
  <si>
    <t>Скобликов П. А.</t>
  </si>
  <si>
    <t>978-5-91768-884-8</t>
  </si>
  <si>
    <t>40.03.01, 40.04.01, 44.03.05</t>
  </si>
  <si>
    <t>0107</t>
  </si>
  <si>
    <t>668063.06.01</t>
  </si>
  <si>
    <t>Актуальные пробл. ист. полит. и прав. учений: Уч.пос. / Т.А.Желдыбина - 2изд.-М.:НИЦ ИНФРА-М,2023.-105 с.(О)</t>
  </si>
  <si>
    <t>АКТУАЛЬНЫЕ ПРОБЛЕМЫ ИСТОРИИ ПОЛИТИЧЕСКИХ И ПРАВОВЫХ УЧЕНИЙ, ИЗД.2</t>
  </si>
  <si>
    <t>Желдыбина Т.А.</t>
  </si>
  <si>
    <t>Высшее образование: Магистратура</t>
  </si>
  <si>
    <t>978-5-16-017212-5</t>
  </si>
  <si>
    <t>40.05.04, 40.04.01, 40.05.01, 40.05.02, 40.05.03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</si>
  <si>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6 от 16.06.2021)</t>
  </si>
  <si>
    <t>0221</t>
  </si>
  <si>
    <t>146800.08.01</t>
  </si>
  <si>
    <t>Актуальные пробл. теор. гос.и права: Уч.пос./Р.В.Шагиева -2изд.-М.:Юр.Норма,НИЦ ИНФРА-М,2023-576с(П)</t>
  </si>
  <si>
    <t>АКТУАЛЬНЫЕ ПРОБЛЕМЫ ТЕОРИИ ГОСУДАРСТВА И ПРАВА, ИЗД.2</t>
  </si>
  <si>
    <t>Шагиева Р.В., Букалерова Л.А., Виноградов В.В. и др.</t>
  </si>
  <si>
    <t>978-5-91768-526-7</t>
  </si>
  <si>
    <t>Допущено УМО по юридическому образованию вузов РФ в качестве учебного пособия для студентов вузов, обучающихся по направлению "Юриспруденция"</t>
  </si>
  <si>
    <t>0214</t>
  </si>
  <si>
    <t>645330.06.01</t>
  </si>
  <si>
    <t>Актуальные проблемы гражданского права: Уч.пос. / С.А.Иванова и др. - М.:НИЦ ИНФРА-М,2023 - 190 с.(ВО)(П)</t>
  </si>
  <si>
    <t>АКТУАЛЬНЫЕ ПРОБЛЕМЫ ГРАЖДАНСКОГО ПРАВА</t>
  </si>
  <si>
    <t>Иванова С.А., Пашенцев Д.А., Санникова Л.В.</t>
  </si>
  <si>
    <t>978-5-16-014246-3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</si>
  <si>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40.04.00 «Юриспруденция» (квалификация (степень) «магистр») (протокол № 12 от 24.06.2019)</t>
  </si>
  <si>
    <t>Финансовый университет при Правительстве Российской Федерации</t>
  </si>
  <si>
    <t>766407.01.01</t>
  </si>
  <si>
    <t>Актуальные проблемы гражданского процессуал. права: Уч. / Я.Я.Кайль-М.:НИЦ ИНФРА-М,2022.-307с(ВО)(П)</t>
  </si>
  <si>
    <t>АКТУАЛЬНЫЕ ПРОБЛЕМЫ ГРАЖДАНСКОГО ПРОЦЕССУАЛЬНОГО ПРАВА</t>
  </si>
  <si>
    <t>Кайль Я.Я.</t>
  </si>
  <si>
    <t>978-5-16-017644-4</t>
  </si>
  <si>
    <t>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</si>
  <si>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08.06.2022)</t>
  </si>
  <si>
    <t>Российская академия народного хозяйства и государственной службы при Президенте РФ, ф-л Волгоградский институт управления</t>
  </si>
  <si>
    <t>0122</t>
  </si>
  <si>
    <t>314000.08.01</t>
  </si>
  <si>
    <t>Актуальные проблемы защиты неимущ. прав детей..: Сб. / А.Е.Тарасова и др. - М.:НИЦ ИНФРА-М,2023 - 232 с(О)</t>
  </si>
  <si>
    <t>АКТУАЛЬНЫЕ ПРОБЛЕМЫ ЗАЩИТЫ НЕИМУЩЕСТВЕННЫХ ПРАВ ДЕТЕЙ (МАТЕРИАЛЬНЫЕ И ПРОЦЕССУАЛЬНЫЕ АСПЕКТЫ)</t>
  </si>
  <si>
    <t>Тарасова А.Е., Зубарева О.Г., Шершень Т.В. и др.</t>
  </si>
  <si>
    <t>978-5-16-011843-7</t>
  </si>
  <si>
    <t>668063.03.01</t>
  </si>
  <si>
    <t>Актуальные проблемы истории полит. и прав.уч.: Уч.пос. / Т.А.Желдыбина-М.:НИЦ ИНФРА-М,2019-88с(ВО)</t>
  </si>
  <si>
    <t>АКТУАЛЬНЫЕ ПРОБЛЕМЫ ИСТОРИИ ПОЛИТИЧЕСКИХ И ПРАВОВЫХ УЧЕНИЙ</t>
  </si>
  <si>
    <t>978-5-16-013753-7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</si>
  <si>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</si>
  <si>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636374.04.01</t>
  </si>
  <si>
    <t>Актуальные проблемы международного фин. права: Уч.пос. / С.Г.Павликов - М.:НИЦ ИНФРА-М,2022-322с.(п)</t>
  </si>
  <si>
    <t>АКТУАЛЬНЫЕ ПРОБЛЕМЫ МЕЖДУНАРОДНОГО ФИНАНСОВОГО ПРАВА</t>
  </si>
  <si>
    <t>Павликов С.Г., Ефимова Н.А., Иксанов И.С. и др.</t>
  </si>
  <si>
    <t>Высшее образование: Магистратура (Финуниверситет)</t>
  </si>
  <si>
    <t>978-5-16-012168-0</t>
  </si>
  <si>
    <t>40.03.01, 38.04.09, 40.04.01, 38.04.01, 38.04.08, 38.03.01, 44.03.05</t>
  </si>
  <si>
    <t>Рекомендовано в качестве учебного пособия для студентов высших учебных заведений, обучающихся по направлениям подготовки 38.04.01 «Экономика», 34.04.08 «Финансы и кредит», 40.04.01 «Юриспруденция» (квалификация (степень) «магистр»)</t>
  </si>
  <si>
    <t>646040.01.01</t>
  </si>
  <si>
    <t>Актуальные проблемы муниципального права России: Уч. / А.А.Акмалова-М.:НИЦ ИНФРА-М,2022.-402 с.(ВО: Магистр.)(П)</t>
  </si>
  <si>
    <t>АКТУАЛЬНЫЕ ПРОБЛЕМЫ МУНИЦИПАЛЬНОГО ПРАВА РОССИИ</t>
  </si>
  <si>
    <t>Акмалова А.А.</t>
  </si>
  <si>
    <t>978-5-16-013024-8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</si>
  <si>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16.06.2021)</t>
  </si>
  <si>
    <t>ДА</t>
  </si>
  <si>
    <t>324100.06.01</t>
  </si>
  <si>
    <t>Актуальные проблемы муниципального права: Уч. / Г.Н.Чеботарев-М.:Юр.Норма, НИЦ ИНФРА-М,2022.-304с(п)</t>
  </si>
  <si>
    <t>АКТУАЛЬНЫЕ ПРОБЛЕМЫ МУНИЦИПАЛЬНОГО ПРАВА</t>
  </si>
  <si>
    <t>Чеботарев Г.Н., Гуркова С.Г., Иванова К.А. и др.</t>
  </si>
  <si>
    <t>978-5-91768-572-4</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</si>
  <si>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</si>
  <si>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Тюменский государственный университет</t>
  </si>
  <si>
    <t>324100.07.01</t>
  </si>
  <si>
    <t>Актуальные проблемы муниципального права: Уч./ Г.Н.Чеботарев-2изд.-М.:Юр.Норма, НИЦ ИНФРА-М,2024.-320с(п)</t>
  </si>
  <si>
    <t>АКТУАЛЬНЫЕ ПРОБЛЕМЫ МУНИЦИПАЛЬНОГО ПРАВА, ИЗД.2</t>
  </si>
  <si>
    <t>Чеботарев Г.Н., Акулич Е.М., Зайцева Л.В. и др.</t>
  </si>
  <si>
    <t>978-5-00156-337-2</t>
  </si>
  <si>
    <t>Октябрь, 2023</t>
  </si>
  <si>
    <t>0224</t>
  </si>
  <si>
    <t>650156.04.01</t>
  </si>
  <si>
    <t>Актуальные проблемы налогового права: Уч. / Е.Л.Васянина-М.:НИЦ ИНФРА-М,2023.-330 с.(ВО: Магистр.)(П)</t>
  </si>
  <si>
    <t>АКТУАЛЬНЫЕ ПРОБЛЕМЫ НАЛОГОВОГО ПРАВА</t>
  </si>
  <si>
    <t>Васянина Е.Л., Запольский С.В.</t>
  </si>
  <si>
    <t>978-5-16-013746-9</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</si>
  <si>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40.04.01 «Юриспруденция» (квалификация (степень) «магистр»)</t>
  </si>
  <si>
    <t>Санкт-Петербургский государственный экономический университет</t>
  </si>
  <si>
    <t>689660.04.01</t>
  </si>
  <si>
    <t>Актуальные проблемы права интеллект. собственности: Уч. / Л.И.Гончаренко.-М.:НИЦ ИНФРА-М,2023-320 с.(П)</t>
  </si>
  <si>
    <t>АКТУАЛЬНЫЕ ПРОБЛЕМЫ ПРАВА ИНТЕЛЛЕКТУАЛЬНОЙ СОБСТВЕННОСТИ</t>
  </si>
  <si>
    <t>Гончаренко Л.И., Кулешова И.А., Лосева О.В. и др.</t>
  </si>
  <si>
    <t>978-5-16-015861-7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</si>
  <si>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8 от 22.06.2020)</t>
  </si>
  <si>
    <t>472700.06.01</t>
  </si>
  <si>
    <t>Актуальные проблемы права: Уч. / под. ред. Шагиева Р.В. - М.:Юр.Норма,НИЦ ИНФРА-М,2023 - 352с.(п)</t>
  </si>
  <si>
    <t>АКТУАЛЬНЫЕ ПРОБЛЕМЫ ПРАВА</t>
  </si>
  <si>
    <t>Шагиева Р.В., Букалерова Л.А., Грудцына Л.Ю. и др.</t>
  </si>
  <si>
    <t>НОРМА</t>
  </si>
  <si>
    <t>978-5-91768-697-4</t>
  </si>
  <si>
    <t>795908.01.01</t>
  </si>
  <si>
    <t>Актуальные проблемы предмета административного права: Моногр. / А.В.Куракин.-М.:НИЦ ИНФРА-М,2023.-204 с.(о)</t>
  </si>
  <si>
    <t>АКТУАЛЬНЫЕ ПРОБЛЕМЫ ПРЕДМЕТА АДМИНИСТРАТИВНОГО ПРАВА</t>
  </si>
  <si>
    <t>Адмиралова И.А., Костенников М.В., Куракин А.В.</t>
  </si>
  <si>
    <t>978-5-16-018113-4</t>
  </si>
  <si>
    <t>Ноябрь, 2022</t>
  </si>
  <si>
    <t>0123</t>
  </si>
  <si>
    <t>168950.09.01</t>
  </si>
  <si>
    <t>Актуальные проблемы предприним.права: Вып.II: Моногр./Под ред.А.Е.Молотникова-М.:НИЦ ИНФРА-М,2023.-264с(О)</t>
  </si>
  <si>
    <t>АКТУАЛЬНЫЕ ПРОБЛЕМЫ ПРЕДПРИНИМАТЕЛЬСКОГО ПРАВА</t>
  </si>
  <si>
    <t>А.Е. Молотников, Р.С. Куракин</t>
  </si>
  <si>
    <t>978-5-16-005268-7</t>
  </si>
  <si>
    <t>Московский государственный университет им. М.В. Ломоносова, юридический факультет</t>
  </si>
  <si>
    <t>0112</t>
  </si>
  <si>
    <t>459150.06.01</t>
  </si>
  <si>
    <t>Актуальные проблемы совр. наслед. законодат. РФ: Моногр. / Е.А.Кириллова - М.:НИЦ ИНФРА-М,2023-123 с.(О)</t>
  </si>
  <si>
    <t>АКТУАЛЬНЫЕ ПРОБЛЕМЫ СОВРЕМЕННОГО НАСЛЕДСТВЕННОГО ЗАКОНОДАТЕЛЬСТВА РОССИЙСКОЙ ФЕДЕРАЦИИ</t>
  </si>
  <si>
    <t>Кириллова Е.А.</t>
  </si>
  <si>
    <t>978-5-16-009435-9</t>
  </si>
  <si>
    <t>Юго-Западный государственный университет</t>
  </si>
  <si>
    <t>0114</t>
  </si>
  <si>
    <t>323300.04.01</t>
  </si>
  <si>
    <t>Актуальные проблемы совр. российской теории права: Моногр. /В.М.Шамаров-М.:Альфа-М,2024.-192 с-(п)</t>
  </si>
  <si>
    <t>АКТУАЛЬНЫЕ ПРОБЛЕМЫ СОВРЕМЕННОЙ РОССИЙСКОЙ ТЕОРИИ ПРАВА</t>
  </si>
  <si>
    <t>Шамаров В. М.</t>
  </si>
  <si>
    <t>Альфа-М</t>
  </si>
  <si>
    <t>Ligitimitate legem et ordinem</t>
  </si>
  <si>
    <t>978-5-98281-420-3</t>
  </si>
  <si>
    <t>Институт деловой карьеры</t>
  </si>
  <si>
    <t>427750.07.01</t>
  </si>
  <si>
    <t>Актуальные проблемы теории и фил. права: Курс лекций / Ю.В.Сорокина -М.:Норма:НИЦ ИНФРА-М,2024-304с. (о)</t>
  </si>
  <si>
    <t>АКТУАЛЬНЫЕ ПРОБЛЕМЫ ТЕОРИИ И ФИЛОСОФИИ ПРАВА</t>
  </si>
  <si>
    <t>Сорокина Ю. В.</t>
  </si>
  <si>
    <t>978-5-91768-367-6</t>
  </si>
  <si>
    <t>40.03.01, 38.04.09, 40.04.01</t>
  </si>
  <si>
    <t>351100.06.01</t>
  </si>
  <si>
    <t>Актуальные проблемы унификации гражд.процес.и.../Рожкова М.А.-М:Моногр.-НИЦ ИНФРА-М,2023-304с</t>
  </si>
  <si>
    <t>АКТУАЛЬНЫЕ ПРОБЛЕМЫ УНИФИКАЦИИ ГРАЖДАНСКОГО ПРОЦЕССУАЛЬНОГО И АРБИТРАЖНОГО ПРОЦЕССУАЛЬНОГО ЗАКОНОДАТЕЛЬСТВА</t>
  </si>
  <si>
    <t>Рожкова М.А., Глазкова М.Е., Савина М.А. и др.</t>
  </si>
  <si>
    <t>978-5-16-010863-6</t>
  </si>
  <si>
    <t>40.03.01, 40.06.01, 44.03.05</t>
  </si>
  <si>
    <t>388000.05.01</t>
  </si>
  <si>
    <t>Актуальные проблемы финансового права: Моногр. / Е.Ю.Грачева - М.:Юр.Норма,НИЦ ИНФРА-М,2024-208с.(П)</t>
  </si>
  <si>
    <t>АКТУАЛЬНЫЕ ПРОБЛЕМЫ ФИНАНСОВОГО ПРАВА</t>
  </si>
  <si>
    <t>Грачева Е.Ю.</t>
  </si>
  <si>
    <t>978-5-91768-733-9</t>
  </si>
  <si>
    <t>638700.05.01</t>
  </si>
  <si>
    <t>Альтернативные механизмы разрешения споров.. / Н.И.Гайдаенко Шер-М.:НИЦ ИНФРА-М,2022-248с.(ИЗиСП)(П)</t>
  </si>
  <si>
    <t>АЛЬТЕРНАТИВНЫЕ МЕХАНИЗМЫ РАЗРЕШЕНИЯ СПОРОВ КАК ИНСТРУМЕНТ ФОРМИРОВАНИЯ БЛАГОПРИЯТНОЙ СРЕДЫ ДЛЯ ПРЕДПРИНИМАТЕЛЬСКОЙ ДЕЯТЕЛЬНОСТИ (ОПЫТ РОССИИ И ЗАРУБЕЖНЫХ СТРАН)</t>
  </si>
  <si>
    <t>978-5-16-012243-4</t>
  </si>
  <si>
    <t>40.03.01, 40.04.01, 40.05.01, 40.05.02, 40.05.03</t>
  </si>
  <si>
    <t>701903.02.01</t>
  </si>
  <si>
    <t>Альтернативные санкции в рос. праве: Моногр. / Липинский Д.А. - М.:ИЦ РИОР, НИЦ ИНФРА-М,2020-184с(О)</t>
  </si>
  <si>
    <t>АЛЬТЕРНАТИВНЫЕ САНКЦИИ В РОССИЙСКОМ ПРАВЕ</t>
  </si>
  <si>
    <t>Липинский Д.А., Мусаткина А.А., Чуклова Е.В.</t>
  </si>
  <si>
    <t>978-5-369-01803-3</t>
  </si>
  <si>
    <t>Тольяттинский государственный университет</t>
  </si>
  <si>
    <t>789493.01.01</t>
  </si>
  <si>
    <t>Амнистия. Помилование. Судимость: Моногр. / А.Я.Гришко, - 2 изд.-М.:НИЦ ИНФРА-М,2023.-187 с.(п)</t>
  </si>
  <si>
    <t>АМНИСТИЯ. ПОМИЛОВАНИЕ. СУДИМОСТЬ, ИЗД.2</t>
  </si>
  <si>
    <t>Гришко А.Я.</t>
  </si>
  <si>
    <t>978-5-16-018007-6</t>
  </si>
  <si>
    <t>40.05.04, 40.05.01, 40.05.02, 40.05.03, 40.06.01</t>
  </si>
  <si>
    <t>Рязанский государственный университет им. С.А. Есенина</t>
  </si>
  <si>
    <t>Декабрь, 2022</t>
  </si>
  <si>
    <t>795740.01.01</t>
  </si>
  <si>
    <t>Анализ полицейских практик в сфере противодействия...: Моногр. / Э.Н.Лыков-М.:НИЦ ИНФРА-М,2023.-167 с.(о)</t>
  </si>
  <si>
    <t>АНАЛИЗ ПОЛИЦЕЙСКИХ ПРАКТИК В СФЕРЕ ПРОТИВОДЕЙСТВИЯ ПРЕСТУПНОСТИ</t>
  </si>
  <si>
    <t>Лыков Э.Н., Липич Т.И.</t>
  </si>
  <si>
    <t>Научная мысль (РГГУ)</t>
  </si>
  <si>
    <t>978-5-16-018147-9</t>
  </si>
  <si>
    <t>40.05.04, 40.04.01, 40.05.01, 40.05.02, 40.05.03, 40.06.01</t>
  </si>
  <si>
    <t>Российский государственный гуманитарный университет, ф-л в г.Домодедово</t>
  </si>
  <si>
    <t>Июль, 2023</t>
  </si>
  <si>
    <t>747085.06.01</t>
  </si>
  <si>
    <t>Анализ правового регулир. и судеб. прак. разреш. споров... / В.А.Дергунова - М.:НИЦ ИНФРА-М,2024 - 365 с.(П)</t>
  </si>
  <si>
    <t>АНАЛИЗ ПРАВОВОГО РЕГУЛИРОВАНИЯ И СУДЕБНОЙ ПРАКТИКИ РАЗРЕШЕНИЯ СПОРОВ РОДИТЕЛЕЙ О ДЕТЯХ</t>
  </si>
  <si>
    <t>Дергунова В.А., Прокопова А.Д.</t>
  </si>
  <si>
    <t>978-5-16-016703-9</t>
  </si>
  <si>
    <t>231300.05.01</t>
  </si>
  <si>
    <t>Аналогия в налоговом праве: Моногр. / М.В.Юзвак - 2 изд. - М.:ИЦ РИОР,НИЦ ИНФРА-М,2022-138с.(Науч.мысль)(о)</t>
  </si>
  <si>
    <t>АНАЛОГИЯ В НАЛОГОВОМ ПРАВЕ, ИЗД.2</t>
  </si>
  <si>
    <t>Юзвак М.В., под ред. Щекина Д.М.</t>
  </si>
  <si>
    <t>978-5-369-01533-9</t>
  </si>
  <si>
    <t>259800.10.01</t>
  </si>
  <si>
    <t>Антикоррупционная экспертиза норм правов. актов...: Моногр. /Е.Р.Россинская -М.: Юр.Норма, НИЦ ИНФРА-М, 2023-160с.(о)</t>
  </si>
  <si>
    <t>АНТИКОРРУПЦИОННАЯ ЭКСПЕРТИЗА НОРМАТИВНЫХ ПРАВОВЫХ АКТОВ И ИХ ПРОЕКТОВ: ПРОБЛЕМЫ ТЕОРИИ И ПРАКТИКИ</t>
  </si>
  <si>
    <t>Россинская Е. Р., Галяшина Е. И.</t>
  </si>
  <si>
    <t>978-5-91768-451-2</t>
  </si>
  <si>
    <t>371300.07.01</t>
  </si>
  <si>
    <t>Антикоррупционные стандарты Орг. эконом..: Моногр. /Под ред.Хабриевой Т.Я.-М.:НИЦ ИНФРА-М,2024-296с.(П)</t>
  </si>
  <si>
    <t>АНТИКОРРУПЦИОННЫЕ СТАНДАРТЫ ОРГАНИЗАЦИИ ЭКОНОМИЧЕСКОГО СОТРУДНИЧЕСТВА И РАЗВИТИЯ И ИХ РЕАЛИЗАЦИЯ В РОССИЙСКОЙ ФЕДЕРАЦИИ</t>
  </si>
  <si>
    <t>Хабриева Т.Я., Федоров А.В.</t>
  </si>
  <si>
    <t>978-5-16-011033-2</t>
  </si>
  <si>
    <t>40.03.01, 40.04.01, 38.04.04, 40.05.01, 40.05.02, 38.03.04, 44.03.05</t>
  </si>
  <si>
    <t>664726.02.01</t>
  </si>
  <si>
    <t>Антология  Рос. естественно-правовой мысли: Т.3: Моногр. / А.Г.Чернявский - М.:ИНФРА-М,2020 -222с(П)</t>
  </si>
  <si>
    <t>АНТОЛОГИЯ  РОССИЙСКОЙ ЕСТЕСТВЕННО-ПРАВОВОЙ МЫСЛИ: ТОМ 3: РОССИЙСКАЯ ЕСТЕСТВЕННО-ПРАВОВАЯ МЫСЛЬ ПЕРВОЙ ЧЕТВЕРТИ  XX ВЕКА, Т.3</t>
  </si>
  <si>
    <t>Чернявский А.Г., Куницын А.С., Воронцов А.Л.</t>
  </si>
  <si>
    <t>978-5-16-013308-9</t>
  </si>
  <si>
    <t>40.03.01, 40.04.01, 44.03.05, 41.03.06</t>
  </si>
  <si>
    <t>Военный университет Министерства обороны Российский Федерации</t>
  </si>
  <si>
    <t>654521.04.01</t>
  </si>
  <si>
    <t>Антология Российской естеств.-правовой мысли: Моногр.: Т.1 / А.Г.Чернявский-М.:НИЦ ИНФРА-М,2023-166с</t>
  </si>
  <si>
    <t>АНТОЛОГИЯ РОССИЙСКОЙ ЕСТЕСТВЕННО-ПРАВОВОЙ МЫСЛИ, Т.1</t>
  </si>
  <si>
    <t>978-5-16-012738-5</t>
  </si>
  <si>
    <t>654522.03.01</t>
  </si>
  <si>
    <t>Антология Российской естеств.-правовой мысли: Моногр.: Т.2 / А.Г.Чернявский-М.:НИЦ ИНФРА-М,2019-239с</t>
  </si>
  <si>
    <t>АНТОЛОГИЯ РОССИЙСКОЙ ЕСТЕСТВЕННО-ПРАВОВОЙ МЫСЛИ, Т.2</t>
  </si>
  <si>
    <t>978-5-16-012739-2</t>
  </si>
  <si>
    <t>703419.04.01</t>
  </si>
  <si>
    <t>Антропология права: Уч. / А.И.Ковлер - М.:Юр.Норма, НИЦ ИНФРА-М,2023 - 480 с.(П)</t>
  </si>
  <si>
    <t>АНТРОПОЛОГИЯ ПРАВА</t>
  </si>
  <si>
    <t>Ковлер А.И.</t>
  </si>
  <si>
    <t>978-5-91768-555-7</t>
  </si>
  <si>
    <t>40.05.04, 46.03.01, 40.03.01, 47.04.01, 40.04.01, 40.05.01, 40.05.02, 40.05.03</t>
  </si>
  <si>
    <t>100250.04.01</t>
  </si>
  <si>
    <t>Арбитражный процесс / И.В.Решетникова и др. - 2 изд. - М.:Юр.Норма, НИЦ ИНФРА-М,2019.-400 с.(О)</t>
  </si>
  <si>
    <t>АРБИТРАЖНЫЙ ПРОЦЕСС, ИЗД.2</t>
  </si>
  <si>
    <t>Решетникова И.В., Куликова М.А., Царегородцева Е.А.</t>
  </si>
  <si>
    <t>978-5-91768-781-0</t>
  </si>
  <si>
    <t>Краткий учебный курс</t>
  </si>
  <si>
    <t>0217</t>
  </si>
  <si>
    <t>100250.12.01</t>
  </si>
  <si>
    <t>Арбитражный процесс / И.В.Решетникова и др. - 3 изд. - М.:Юр.Норма, НИЦ ИНФРА-М,2023 - 368 с.(О)</t>
  </si>
  <si>
    <t>АРБИТРАЖНЫЙ ПРОЦЕСС, ИЗД.3</t>
  </si>
  <si>
    <t>Решетникова И. В., Куликова М. А., Царегородцева Е. А.</t>
  </si>
  <si>
    <t>978-5-00156-070-8</t>
  </si>
  <si>
    <t>732728.05.01</t>
  </si>
  <si>
    <t>Арт-рынок: актуальные пробл. правового регулир.: Моногр. / Л.Р. Клебанов - М,Норма, ИНФРА-М,2023-232с.(П)</t>
  </si>
  <si>
    <t>АРТ-РЫНОК: АКТУАЛЬНЫЕ ПРОБЛЕМЫ ПРАВОВОГО РЕГУЛИРОВАНИЯ</t>
  </si>
  <si>
    <t>Клебанов Л.Р.</t>
  </si>
  <si>
    <t>978-5-00156-052-4</t>
  </si>
  <si>
    <t>Российский университет дружбы народов</t>
  </si>
  <si>
    <t>685032.01.01</t>
  </si>
  <si>
    <t>Банковский надзор в РФ: Уч.пос. / Т.Э.Рождественская - М.:Юр.Норма, НИЦ ИНФРА-М,2018.-176 с.(П)</t>
  </si>
  <si>
    <t>БАНКОВСКИЙ НАДЗОР В РФ</t>
  </si>
  <si>
    <t>Рождественская Т.Э., Гузнов А.Г.</t>
  </si>
  <si>
    <t>978-5-91768-942-5</t>
  </si>
  <si>
    <t>685032.03.01</t>
  </si>
  <si>
    <t>Банковский надзор в РФ: Уч.пос. / Т.Э.Рождественская, - 2 изд.-М.:Юр.Норма, НИЦ ИНФРА-М,2024.-192 с.(П)</t>
  </si>
  <si>
    <t>БАНКОВСКИЙ НАДЗОР В РФ, ИЗД.2</t>
  </si>
  <si>
    <t>978-5-00156-187-3</t>
  </si>
  <si>
    <t>683239.02.01</t>
  </si>
  <si>
    <t>Банковское право Российской Федерации: уч. / Е.Ю.Грачева-М.:Юр.Норма, НИЦ ИНФРА-М,2018.-368 с..-(СПО)(П 7БЦ)</t>
  </si>
  <si>
    <t>БАНКОВСКОЕ ПРАВО РОССИЙСКОЙ ФЕДЕРАЦИИ</t>
  </si>
  <si>
    <t>978-5-91768-925-8</t>
  </si>
  <si>
    <t>38.01.03, 38.02.06, 38.02.07</t>
  </si>
  <si>
    <t>683239.05.01</t>
  </si>
  <si>
    <t>Банковское право РФ: Уч. / Е.Ю.Грачева - 2 изд. - М.:Юр.Норма, НИЦ ИНФРА-М,2023 - 336 с.-(П)</t>
  </si>
  <si>
    <t>БАНКОВСКОЕ ПРАВО РОССИЙСКОЙ ФЕДЕРАЦИИ, ИЗД.2</t>
  </si>
  <si>
    <t>978-5-00156-139-2</t>
  </si>
  <si>
    <t>095250.07.01</t>
  </si>
  <si>
    <t>Банковское право РФ: Уч. / Отв. ред. Е.Ю.Грачева, - 3 изд.-М.:Юр.Норма,НИЦ ИНФРА-М,2019-368с.(П)</t>
  </si>
  <si>
    <t>БАНКОВСКОЕ ПРАВО РОССИЙСКОЙ ФЕДЕРАЦИИ, ИЗД.3</t>
  </si>
  <si>
    <t>978-5-91768-737-7</t>
  </si>
  <si>
    <t>40.05.04, 40.02.01, 40.02.02, 40.03.01, 40.04.01, 40.05.01, 40.05.02, 40.05.03, 44.03.05, 40.02.03</t>
  </si>
  <si>
    <t>0316</t>
  </si>
  <si>
    <t>095250.10.01</t>
  </si>
  <si>
    <t>Банковское право РФ: Уч. / Отв. ред. Е.Ю.Грачева, - 4 изд.-М.:Юр.Норма,НИЦ ИНФРА-М,2021-336с.(П)</t>
  </si>
  <si>
    <t>БАНКОВСКОЕ ПРАВО РОССИЙСКОЙ ФЕДЕРАЦИИ, ИЗД.4</t>
  </si>
  <si>
    <t>978-5-00156-093-7</t>
  </si>
  <si>
    <t>757885.01.01</t>
  </si>
  <si>
    <t>Банковское право: Уч. / Е.Г.Хоменко - М.:Юр.Норма, НИЦ ИНФРА-М,2021 - 384 с.(П)</t>
  </si>
  <si>
    <t>БАНКОВСКОЕ ПРАВО</t>
  </si>
  <si>
    <t>Хоменко Е.Г.</t>
  </si>
  <si>
    <t>978-5-00156-179-8</t>
  </si>
  <si>
    <t>078530.05.01</t>
  </si>
  <si>
    <t>Банковское право: Шпаргалка - М.:ИЦ РИОР, НИЦ ИНФРА-М - 128 с.-(Шпаргалка [отрывная])(О)</t>
  </si>
  <si>
    <t>978-5-369-00539-2</t>
  </si>
  <si>
    <t>40.03.01, 38.03.01</t>
  </si>
  <si>
    <t>668723.04.01</t>
  </si>
  <si>
    <t>Биржевые рынки государств Европы: Моногр. / Р.С.Куракин-М.:НИЦ ИНФРА-М,2023.-549 с..-(Науч.мысль)(П)</t>
  </si>
  <si>
    <t>БИРЖЕВЫЕ РЫНКИ ГОСУДАРСТВ ЕВРОПЫ</t>
  </si>
  <si>
    <t>Куракин Р.С.</t>
  </si>
  <si>
    <t>978-5-16-013309-6</t>
  </si>
  <si>
    <t>38.03.01, 38.03.02</t>
  </si>
  <si>
    <t>747743.03.01</t>
  </si>
  <si>
    <t>Благоприятствование защите (favor defensionis): Моногр. / С.А.Соловьев-М.:Юр.Норма,ИНФРА-М,2023.-296 с.(П)</t>
  </si>
  <si>
    <t>БЛАГОПРИЯТСТВОВАНИЕ ЗАЩИТЕ (FAVOR DEFENSIONIS)</t>
  </si>
  <si>
    <t>Соловьев С.А.</t>
  </si>
  <si>
    <t>978-5-00156-137-8</t>
  </si>
  <si>
    <t>40.05.04, 40.03.01, 40.04.01, 40.05.02, 40.06.01</t>
  </si>
  <si>
    <t>756458.05.01</t>
  </si>
  <si>
    <t>Блокчейн в платеж. сис., цифр. финанс. активы...: Уч.пос. / Т.Э.Рождественская.-М.:Юр.Норма, НИЦ ИНФРА-М,2024.-128 с.(П)</t>
  </si>
  <si>
    <t>БЛОКЧЕЙН В ПЛАТЕЖНЫХ СИСТЕМАХ, ЦИФРОВЫЕ ФИНАНСОВЫЕ АКТИВЫ И ЦИФРОВЫЕ ВАЛЮТЫ</t>
  </si>
  <si>
    <t>Рождественская Т.Э., Ситник А.А., Хоменко Е.Г. и др.</t>
  </si>
  <si>
    <t>978-5-00156-171-2</t>
  </si>
  <si>
    <t>083270.10.01</t>
  </si>
  <si>
    <t>Борьба мотивов в преступном поведении: Моногр. / В.Н.Кудрявцев - М.:Юр.Норма, НИЦ ИНФРА-М,2022 - 128с(О)</t>
  </si>
  <si>
    <t>БОРЬБА МОТИВОВ В ПРЕСТУПНОМ ПОВЕДЕНИИ</t>
  </si>
  <si>
    <t>Кудрявцев В.Н.</t>
  </si>
  <si>
    <t>978-5-91768-855-8</t>
  </si>
  <si>
    <t>681717.06.01</t>
  </si>
  <si>
    <t>Борьба с коррупцией в правоохранит. орг. за рубежом: Моногр. / В.Ю.Артемов.-М.:НИЦ ИНФРА-М,2022.-320 с.(П)</t>
  </si>
  <si>
    <t>БОРЬБА С КОРРУПЦИЕЙ В ПРАВООХРАНИТЕЛЬНЫХ ОРГАНАХ ЗА РУБЕЖОМ:</t>
  </si>
  <si>
    <t>Артемов В.Ю., Власов И.С., Голованова Н.А. и др.</t>
  </si>
  <si>
    <t>978-5-16-013731-5</t>
  </si>
  <si>
    <t>740999.07.01</t>
  </si>
  <si>
    <t>Будущее права: наследие академика В.С. Степина... / Т.Я.Хабриева-М.:НИЦ ИНФРА-М,2024.-176 с.(П)</t>
  </si>
  <si>
    <t>БУДУЩЕЕ ПРАВА: НАСЛЕДИЕ АКАДЕМИКА В.С. СТЕПИНА И ЮРИДИЧЕСКАЯ НАУКА</t>
  </si>
  <si>
    <t>Хабриева Т.Я., Черногор Н.Н.</t>
  </si>
  <si>
    <t>978-5-16-016361-1</t>
  </si>
  <si>
    <t>Научно-популярное издание</t>
  </si>
  <si>
    <t>712994.01.01</t>
  </si>
  <si>
    <t>Бюджетная система и система налогов и сборов РФ:Уч./Грачева Е.Ю.-М.:Юр.Норма,НИЦ ИНФРА-М,2019-272(П)</t>
  </si>
  <si>
    <t>БЮДЖЕТНАЯ СИСТЕМА И СИСТЕМА НАЛОГОВ И СБОРОВ РОССИЙСКОЙ ФЕДЕРАЦИИ</t>
  </si>
  <si>
    <t>Грачева Е.Ю., Болтинова О.В., Арзуманова Л.Л. и др.</t>
  </si>
  <si>
    <t>978-5-00156-009-8</t>
  </si>
  <si>
    <t>40.02.01, 40.02.02, 38.02.06, 38.02.01</t>
  </si>
  <si>
    <t>42</t>
  </si>
  <si>
    <t>158600.07.01</t>
  </si>
  <si>
    <t>Бюджетное право России: Уч. / Х.В. Пешкова - М.: ИНФРА-М:  Контракт, 2015. - 416 с.(ВО) (п)</t>
  </si>
  <si>
    <t>БЮДЖЕТНОЕ ПРАВО РОССИИ</t>
  </si>
  <si>
    <t>Пешкова Х.В.</t>
  </si>
  <si>
    <t>ИНФРА-М Издательский Дом</t>
  </si>
  <si>
    <t>978-5-16-005156-7</t>
  </si>
  <si>
    <t>40.05.04, 40.02.01, 40.02.02, 40.03.01, 40.04.01, 38.04.08, 40.05.01, 40.05.02, 40.05.03, 38.03.01, 38.03.04, 40.02.03</t>
  </si>
  <si>
    <t>Рекомендовано в качестве учебника для студентов высших учебных заведений, обучающихся по направлению 030900 «Юриспруденция»</t>
  </si>
  <si>
    <t>Воронежский институт Федеральной службы исполнения наказаний России</t>
  </si>
  <si>
    <t>0111</t>
  </si>
  <si>
    <t>158600.13.01</t>
  </si>
  <si>
    <t>Бюджетное право России: Уч. / Х.В.Пешкова, - 2-е изд.-М.:НИЦ ИНФРА-М,2023.-404 с.(ВО: Бакалавр.)(П)</t>
  </si>
  <si>
    <t>БЮДЖЕТНОЕ ПРАВО РОССИИ, ИЗД.2</t>
  </si>
  <si>
    <t>Белогорцева Х.В.</t>
  </si>
  <si>
    <t>978-5-16-012191-8</t>
  </si>
  <si>
    <t>Рекомендовано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</si>
  <si>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117350.06.01</t>
  </si>
  <si>
    <t>Бюджетное право: Уч.пос. / О.В.Болтинова - 3 изд. - М.:Юр.Норма, НИЦ ИНФРА-М,2020-256с(П)</t>
  </si>
  <si>
    <t>БЮДЖЕТНОЕ ПРАВО, ИЗД.3</t>
  </si>
  <si>
    <t>Болтинова О.В.</t>
  </si>
  <si>
    <t>978-5-91768-862-6</t>
  </si>
  <si>
    <t>40.05.04, 40.03.01, 40.04.01, 38.04.08, 40.05.01, 40.05.02, 40.05.03, 38.03.01</t>
  </si>
  <si>
    <t>0318</t>
  </si>
  <si>
    <t>712995.01.01</t>
  </si>
  <si>
    <t>Бюджетное право: Уч.пос. / О.В.Болтинова - 3 изд. - М.:Юр.Норма,НИЦ ИНФРА-М,2019 - 256 с.-(СПО)(П)</t>
  </si>
  <si>
    <t>978-5-00156-011-1</t>
  </si>
  <si>
    <t>40.02.01, 38.02.06, 38.02.07, 38.02.01</t>
  </si>
  <si>
    <t>0319</t>
  </si>
  <si>
    <t>117350.07.01</t>
  </si>
  <si>
    <t>Бюджетное право: Уч.пос. / О.В.Болтинова - 4 изд. - М.:Юр.Норма, НИЦ ИНФРА-М,2023-260с(П)</t>
  </si>
  <si>
    <t>БЮДЖЕТНОЕ ПРАВО, ИЗД.4</t>
  </si>
  <si>
    <t>978-5-00156-295-5</t>
  </si>
  <si>
    <t>Март, 2023</t>
  </si>
  <si>
    <t>0423</t>
  </si>
  <si>
    <t>248500.08.01</t>
  </si>
  <si>
    <t>Бюджетное устройство России: Моногр./Х.В.Пешкова - М.: НИЦ ИНФРА-М, 2024-176с.(Науч. мысль; Право)(О)</t>
  </si>
  <si>
    <t>БЮДЖЕТНОЕ УСТРОЙСТВО РОССИИ</t>
  </si>
  <si>
    <t>Пешкова Х. В.</t>
  </si>
  <si>
    <t>978-5-16-009332-1</t>
  </si>
  <si>
    <t>40.05.04, 40.03.01, 40.04.01, 38.04.08, 40.05.01, 40.05.02, 40.05.03</t>
  </si>
  <si>
    <t>765634.04.01</t>
  </si>
  <si>
    <t>Бюджетные системы России и Китая...: Моногр. / А.А.Трофимов - М.:НИЦ ИНФРА-М,2023 - 215 с.(Науч.мысль)(п)</t>
  </si>
  <si>
    <t>БЮДЖЕТНЫЕ СИСТЕМЫ РОССИИ И КИТАЯ: ВОПРОСЫ ПРАВОВОГО РЕГУЛИРОВАНИЯ</t>
  </si>
  <si>
    <t>Трофимов А.А.</t>
  </si>
  <si>
    <t>978-5-16-018491-3</t>
  </si>
  <si>
    <t>40.03.01, 40.04.01, 38.04.01, 38.04.08, 38.06.01, 40.06.01</t>
  </si>
  <si>
    <t>Санкт-Петербургский государственный университет</t>
  </si>
  <si>
    <t>682756.05.01</t>
  </si>
  <si>
    <t>Бюджетный контроль: Уч.пос. / О.В.Болтинова - М.:Юр.Норма, НИЦ ИНФРА-М,2023 - 160 с.(П)</t>
  </si>
  <si>
    <t>БЮДЖЕТНЫЙ КОНТРОЛЬ</t>
  </si>
  <si>
    <t>Болтинова О.В., Петрова И.В.</t>
  </si>
  <si>
    <t>978-5-91768-913-5</t>
  </si>
  <si>
    <t>40.05.04, 40.03.01, 38.04.09, 40.04.01, 38.04.01, 38.04.08, 38.04.04, 40.05.01, 40.05.02, 40.05.03, 38.05.01, 38.03.01, 38.03.04, 44.03.05</t>
  </si>
  <si>
    <t>712993.02.01</t>
  </si>
  <si>
    <t>Бюджетный контроль: Уч.пос. / О.В.Болтинова-М.:Юр.Норма, НИЦ ИНФРА-М,2023.-160 с.(СПО)(П)</t>
  </si>
  <si>
    <t>978-5-00156-010-4</t>
  </si>
  <si>
    <t>40.02.01, 40.02.02, 38.02.06, 38.02.07, 40.02.03</t>
  </si>
  <si>
    <t>726662.03.01</t>
  </si>
  <si>
    <t>Валютное регулирование и валютный контроль...: Уч.пос. / Ю.В.Леднева-М.:Юр.Норма, НИЦ ИНФРА-М,2022-136 с.(О)</t>
  </si>
  <si>
    <t>ВАЛЮТНОЕ РЕГУЛИРОВАНИЕ И ВАЛЮТНЫЙ КОНТРОЛЬ: ПРАВОВЫЕ ОСНОВЫ</t>
  </si>
  <si>
    <t>Леднева Ю.В.</t>
  </si>
  <si>
    <t>978-5-00156-040-1</t>
  </si>
  <si>
    <t>751369.01.01</t>
  </si>
  <si>
    <t>Валютный контроль: Уч.пос. / А.А.Ситник и др. - М.:Юр.Норма, НИЦ ИНФРА-М,2021 - 216 с.(П)</t>
  </si>
  <si>
    <t>ВАЛЮТНЫЙ КОНТРОЛЬ</t>
  </si>
  <si>
    <t>Ситник А.А., Рождественская Т.Э., Арзуманова Л.Л. и др.</t>
  </si>
  <si>
    <t>978-5-00156-151-4</t>
  </si>
  <si>
    <t>Профессиональное образование</t>
  </si>
  <si>
    <t>425700.05.01</t>
  </si>
  <si>
    <t>Введение в Конституцию России: Монография / Б.С.Эбзеев-М.:Юр.Норма, НИЦ ИНФРА-М,2024.-560 с.(П)</t>
  </si>
  <si>
    <t>ВВЕДЕНИЕ В КОНСТИТУЦИЮ РОССИИ</t>
  </si>
  <si>
    <t>Эбзеев Б. С.</t>
  </si>
  <si>
    <t>978-5-91768-338-6</t>
  </si>
  <si>
    <t>Центральная избирательная комиссия Российской Федерации</t>
  </si>
  <si>
    <t>072850.13.01</t>
  </si>
  <si>
    <t>Введение в оперативно-розыскную психологию: Уч.пос. / Г.К.Синилов - М.:Норма:НИЦ ИНФРА-М,2022-48с(о)</t>
  </si>
  <si>
    <t>ВВЕДЕНИЕ В ОПЕРАТИВНО-РОЗЫСКНУЮ ПСИХОЛОГИЮ</t>
  </si>
  <si>
    <t>Синилов Г.К.</t>
  </si>
  <si>
    <t>978-5-91768-465-9</t>
  </si>
  <si>
    <t>Академия управления Министерства внутренних дел Российской Федерации</t>
  </si>
  <si>
    <t>0106</t>
  </si>
  <si>
    <t>766876.02.01</t>
  </si>
  <si>
    <t>Введение в теорию и ист. политич. орг. общества и права: Моногр. / С.А.Дробышевский-М.:Юр.Норма,ИНФРА-М,2023.-304 с.(П)</t>
  </si>
  <si>
    <t>ВВЕДЕНИЕ В ТЕОРИЮ И ИСТОРИЮ ПОЛИТИЧЕСКИ ОРГАНИЗОВАННОГО ОБЩЕСТВА И ПРАВА</t>
  </si>
  <si>
    <t>Дробышевский С.А.</t>
  </si>
  <si>
    <t>978-5-00156-200-9</t>
  </si>
  <si>
    <t>40.03.01, 40.06.01</t>
  </si>
  <si>
    <t>Сибирский федеральный университет</t>
  </si>
  <si>
    <t>091250.07.01</t>
  </si>
  <si>
    <t>Введение в философию права: Курс лекций / Ю.В. Сорокина - М.: Норма:ИНФРА-М, 2022 - 336 с. (О)</t>
  </si>
  <si>
    <t>ВВЕДЕНИЕ В ФИЛОСОФИЮ ПРАВА</t>
  </si>
  <si>
    <t>Курс лекций для студентов юридических вузов и факультетов</t>
  </si>
  <si>
    <t>978-5-91768-200-6</t>
  </si>
  <si>
    <t>0108</t>
  </si>
  <si>
    <t>323800.09.01</t>
  </si>
  <si>
    <t>Введение в юридическую профессию: Уч. / Л.А. Морозова - М.: Норма:  НИЦ ИНФРА-М, 2023-176с. (о)</t>
  </si>
  <si>
    <t>ВВЕДЕНИЕ В ЮРИДИЧЕСКУЮ ПРОФЕССИЮ</t>
  </si>
  <si>
    <t>Морозова Л.А.</t>
  </si>
  <si>
    <t>978-5-91768-569-4</t>
  </si>
  <si>
    <t>Российский государственный университет правосудия г. Москва</t>
  </si>
  <si>
    <t>105950.08.01</t>
  </si>
  <si>
    <t>Верхняя палата соврем. парламента: срав.-правовое.. /В.Е.Чиркин -М.:Юр.Норма, НИЦ ИНФРА-М,2024-144с.(О)</t>
  </si>
  <si>
    <t>ВЕРХНЯЯ ПАЛАТА СОВРЕМЕННОГО ПАРЛАМЕНТА</t>
  </si>
  <si>
    <t>Чиркин В.Е.</t>
  </si>
  <si>
    <t>978-5-91768-770-4</t>
  </si>
  <si>
    <t>40.03.01, 40.04.01, 38.03.04, 44.03.05</t>
  </si>
  <si>
    <t>0109</t>
  </si>
  <si>
    <t>404100.08.01</t>
  </si>
  <si>
    <t>Верховный суд США: Судебная прав. политика...: Моногр. / А.Ю.Саломатин - 2 изд. - М.:ИЦ РИОР,НИЦ ИНФРА-М,2023-139с(о)</t>
  </si>
  <si>
    <t>ВЕРХОВНЫЙ СУД США: СУДЕБНАЯ ПРАВОВАЯ ПОЛИТИКА ОТ ДЖ. ДЖЕЯ ДО ДЖ. РОБЕРТСА, ИЗД.2</t>
  </si>
  <si>
    <t>Саломатин А.Ю.</t>
  </si>
  <si>
    <t>978-5-369-01211-6</t>
  </si>
  <si>
    <t>41.03.04, 46.03.01, 40.03.01, 41.04.04, 46.04.01, 40.04.01, 44.03.05</t>
  </si>
  <si>
    <t>Пензенский государственный университет</t>
  </si>
  <si>
    <t>0213</t>
  </si>
  <si>
    <t>665726.03.01</t>
  </si>
  <si>
    <t>Вещное право проживания: Моногр. / Д.А.Формакидов -М.:НИЦ ИНФРА-М,2022.-142 с..-(Науч.мысль)(О)</t>
  </si>
  <si>
    <t>ВЕЩНОЕ ПРАВО ПРОЖИВАНИЯ</t>
  </si>
  <si>
    <t>Формакидов Д.А.</t>
  </si>
  <si>
    <t>978-5-16-013613-4</t>
  </si>
  <si>
    <t>Пермский государственный национальный исследовательский университет</t>
  </si>
  <si>
    <t>665691.05.01</t>
  </si>
  <si>
    <t>Вещное право: Уч.пос. / Д.А.Формакидов, - 2-е изд.-М.:НИЦ ИНФРА-М,2024.-184 с.(ВО)(п)</t>
  </si>
  <si>
    <t>ВЕЩНОЕ ПРАВО, ИЗД.2</t>
  </si>
  <si>
    <t>978-5-16-019263-5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</si>
  <si>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13 от 16.09. 2019)</t>
  </si>
  <si>
    <t>0220</t>
  </si>
  <si>
    <t>185250.11.01</t>
  </si>
  <si>
    <t>Вещные иски: проблемы теории и практики: Моногр. /А.А.Новоселова -М.:НИЦ ИНФРА-М, 2024-279с(о)</t>
  </si>
  <si>
    <t>ВЕЩНЫЕ ИСКИ: ПРОБЛЕМЫ ТЕОРИИ И ПРАКТИКИ</t>
  </si>
  <si>
    <t>Новоселова А. А., Подшивалов Т. П.</t>
  </si>
  <si>
    <t>978-5-16-005589-3</t>
  </si>
  <si>
    <t>769547.01.01</t>
  </si>
  <si>
    <t>Взаимодействие правоохр. органов по обеспечению нац. безоп..: Моногр. / Р.Г.Миронов-М.:НИЦ ИНФРА-М,2022-183с.(П)</t>
  </si>
  <si>
    <t>ВЗАИМОДЕЙСТВИЕ ПРАВООХРАНИТЕЛЬНЫХ ОРГАНОВ ПО ОБЕСПЕЧЕНИЮ НАЦИОНАЛЬНОЙ БЕЗОПАСНОСТИ</t>
  </si>
  <si>
    <t>Миронов Р.Г.</t>
  </si>
  <si>
    <t>978-5-16-017549-2</t>
  </si>
  <si>
    <t>40.03.01, 40.04.01, 40.05.01, 40.06.01</t>
  </si>
  <si>
    <t>Восточная экономико-юридическая гуманитарная академия</t>
  </si>
  <si>
    <t>734008.01.01</t>
  </si>
  <si>
    <t>Виктимологические аспекты насильств. преступ. в семейно-бытовой сфере / Е.В.Бочкарева-М.:НИЦ ИНФРА-М,2021.-135 с.(О)</t>
  </si>
  <si>
    <t>ВИКТИМОЛОГИЧЕСКИЕ АСПЕКТЫ НАСИЛЬСТВЕННОЙ ПРЕСТУПНОСТИ В СЕМЕЙНО-БЫТОВОЙ СФЕРЕ</t>
  </si>
  <si>
    <t>Бочкарева Е.В.</t>
  </si>
  <si>
    <t>978-5-16-016154-9</t>
  </si>
  <si>
    <t>40.04.01, 37.05.01, 40.06.01</t>
  </si>
  <si>
    <t>Институт международного права и экономики им. А.С. Грибоедова</t>
  </si>
  <si>
    <t>407750.05.01</t>
  </si>
  <si>
    <t>Виндикационное правоотношение: Моногр./С.А.Краснова-М.:НИЦ ИНФРА-М,2023.-136 с.(Науч. мысль)(О)</t>
  </si>
  <si>
    <t>ВИНДИКАЦИОННОЕ ПРАВООТНОШЕНИЕ</t>
  </si>
  <si>
    <t>Краснова С. А.</t>
  </si>
  <si>
    <t>978-5-16-006380-5</t>
  </si>
  <si>
    <t>46.03.02, 40.03.01, 40.04.01, 38.03.04, 44.03.05</t>
  </si>
  <si>
    <t>149750.09.01</t>
  </si>
  <si>
    <t>Виндикация: юрид.природа и проблемы реал.: Моногр. /Д.В.Лоренц -М.:НИЦ ИНФРА-М,2023-164с(Науч.мысль)(О)</t>
  </si>
  <si>
    <t>ВИНДИКАЦИЯ: ЮРИДИЧЕСКАЯ ПРИРОДА И ПРОБЛЕМЫ РЕАЛИЗАЦИИ</t>
  </si>
  <si>
    <t>Лоренц Д.В.</t>
  </si>
  <si>
    <t>978-5-16-004845-1</t>
  </si>
  <si>
    <t>Южно-Уральский государственный университет (национальный исследовательский университет)</t>
  </si>
  <si>
    <t>294900.10.01</t>
  </si>
  <si>
    <t>Влияние гражд.права на налог.отношения: Моногр. / А.А.Рябов - М.:Юр.Норма, НИЦ ИНФРА-М,2023.-224с</t>
  </si>
  <si>
    <t>ВЛИЯНИЕ ГРАЖДАНСКОГО ПРАВА НА НАЛОГОВЫЕ ОТНОШЕНИЯ</t>
  </si>
  <si>
    <t>Рябов А. А.</t>
  </si>
  <si>
    <t>978-5-91768-524-3</t>
  </si>
  <si>
    <t>40.03.01, 38.03.04, 44.03.05</t>
  </si>
  <si>
    <t>658859.04.01</t>
  </si>
  <si>
    <t>Влияние системы факторов на развитие угол.-исп. политики:Моногр. /Селиверстов В.И.-М.:НИЦ ИНФРА-М,2023-208с</t>
  </si>
  <si>
    <t>ВЛИЯНИЕ СИСТЕМЫ ФАКТОРОВ НА РАЗВИТИЕ УГОЛОВНО-ИСПОЛНИТЕЛЬНОЙ ПОЛИТИКИ И УГОЛОВНО-ИСПОЛНИТЕЛЬНОГО ЗАКОНОДАТЕЛЬСТВА РОССИЙСКОЙ ФЕДЕРАЦИИ</t>
  </si>
  <si>
    <t>Грушин Ф.В.,</t>
  </si>
  <si>
    <t>978-5-16-012921-1</t>
  </si>
  <si>
    <t>40.03.01, 40.04.01, 40.05.01, 40.05.02</t>
  </si>
  <si>
    <t>Научно-исследовательский институт Федеральной службы исполнения наказаний</t>
  </si>
  <si>
    <t>645476.08.01</t>
  </si>
  <si>
    <t>Внедоговорные обязат.в межд.част.праве: Моногр. / И.О.Хлестова - М.:Юр.Норма,НИЦ ИНФРА-М,2023-160c.(П)</t>
  </si>
  <si>
    <t>ВНЕДОГОВОРНЫЕ ОБЯЗАТЕЛЬСТВА В МЕЖДУНАРОДНОМ ЧАСТНОМ ПРАВЕ</t>
  </si>
  <si>
    <t>Хлестова И.О., Борисов В.Б., Власова Н.В. и др.</t>
  </si>
  <si>
    <t>978-5-91768-786-5</t>
  </si>
  <si>
    <t>689659.03.01</t>
  </si>
  <si>
    <t>Внедрение и практ.применение соврем.финан.тех.:Моногр./ Г.Ф.Ручкина-М.:НИЦ ИНФРА-М,2024-161с(О)</t>
  </si>
  <si>
    <t>ВНЕДРЕНИЕ И ПРАКТИЧЕСКОЕ ПРИМЕНЕНИЕ СОВРЕМЕННЫХ ФИНАНСОВЫХ ТЕХНОЛОГИЙ: ЗАКОНОДАТЕЛЬНОЕ РЕГУЛИРОВАНИЕ</t>
  </si>
  <si>
    <t>Ручкина Г.Ф., Березин М.Ю., Демченко М.В. и др.</t>
  </si>
  <si>
    <t>Научная мысль - 100 лет ФУ</t>
  </si>
  <si>
    <t>978-5-16-014380-4</t>
  </si>
  <si>
    <t>40.03.01, 38.04.09, 27.04.07, 40.04.01, 38.04.08, 44.03.05</t>
  </si>
  <si>
    <t>637303.10.01</t>
  </si>
  <si>
    <t>Военная доктрина РФ - М.:НИЦ ИНФРА-М,2024 - 22 с.(О)</t>
  </si>
  <si>
    <t>ВОЕННАЯ ДОКТРИНА РОССИЙСКОЙ ФЕДЕРАЦИИ</t>
  </si>
  <si>
    <t>Без автора</t>
  </si>
  <si>
    <t>Обложка. Внакидку</t>
  </si>
  <si>
    <t>Федеральные нормы и правила</t>
  </si>
  <si>
    <t>978-5-16-012205-2</t>
  </si>
  <si>
    <t>Закон РФ</t>
  </si>
  <si>
    <t>41.03.04, 40.03.01, 41.04.04, 44.03.01, 44.03.05, 41.03.06</t>
  </si>
  <si>
    <t>168550.09.01</t>
  </si>
  <si>
    <t>Возмещение вреда, прич. жизни и здоровью в рез. ДТП / О.В.Колесниченко-4 изд.-М.:ИЦ РИОР,НИЦ ИНФРА-М,2023-142с.(О)</t>
  </si>
  <si>
    <t>ВОЗМЕЩЕНИЕ ВРЕДА, ПРИЧИНЕННОГО ЖИЗНИ И ЗДОРОВЬЮ В РЕЗУЛЬТАТЕ ДТП, ИЗД.4</t>
  </si>
  <si>
    <t>Колесниченко О. В.</t>
  </si>
  <si>
    <t>Наука и практика</t>
  </si>
  <si>
    <t>978-5-369-01843-9</t>
  </si>
  <si>
    <t>Научно-практическое пособие</t>
  </si>
  <si>
    <t>40.02.01, 40.03.01, 40.04.01</t>
  </si>
  <si>
    <t>Московский университет Министерства внутренних дел Российской Федерации им. В.Я. Кикотя</t>
  </si>
  <si>
    <t>0420</t>
  </si>
  <si>
    <t>168550.06.01</t>
  </si>
  <si>
    <t>Возмещение вреда, прич. жизни и здоровью в рез. ДТП/О.В.Корнеева-3изд-ИЦ РИОР,НИЦ ИНФРА-М,2020-146с(Наука и практика)(О)</t>
  </si>
  <si>
    <t>ВОЗМЕЩЕНИЕ ВРЕДА, ПРИЧИНЕННОГО ЖИЗНИ И ЗДОРОВЬЮ В РЕЗУЛЬТАТЕ ДТП, ИЗД.3</t>
  </si>
  <si>
    <t>Корнеева О.В.</t>
  </si>
  <si>
    <t>978-5-369-01434-9</t>
  </si>
  <si>
    <t>0315</t>
  </si>
  <si>
    <t>237300.10.01</t>
  </si>
  <si>
    <t>Вооруженный конфликт немеждународ. характера..: Моногр. / М.Г.Смирнов - М.:Норма, НИЦ ИНФРА-М,2023 - 208 с(О)</t>
  </si>
  <si>
    <t>ВООРУЖЕННЫЙ КОНФЛИКТ НЕМЕЖДУНАРОДНОГО ХАРАКТЕРА: МЕЖДУНАРОДНО-ПРАВОВОЙ АСПЕКТ</t>
  </si>
  <si>
    <t>Смирнов М. Г.</t>
  </si>
  <si>
    <t>978-5-91768-432-1</t>
  </si>
  <si>
    <t>Российский государственный университет нефти и газа (НИУ) им. И.М. Губкина</t>
  </si>
  <si>
    <t>170250.06.01</t>
  </si>
  <si>
    <t>Вопросы налоговых и бюджетных правоотн. в суд..: Моногр. / Х.В.Пешкова-М.:НИЦ ИНФРА-М,2018-184с(О)</t>
  </si>
  <si>
    <t>ВОПРОСЫ НАЛОГОВЫХ И БЮДЖЕТНЫХ ПРАВООТНОШЕНИЙ В СУДЕБНОЙ ПРАКТИКЕ</t>
  </si>
  <si>
    <t>978-5-16-005298-4</t>
  </si>
  <si>
    <t>40.03.01, 40.04.01, 38.04.01, 38.04.08, 38.04.02, 38.04.04, 40.05.02, 40.05.03, 38.05.01, 38.05.02, 38.03.01, 38.03.02, 38.03.04, 44.03.01, 44.03.05</t>
  </si>
  <si>
    <t>170250.08.01</t>
  </si>
  <si>
    <t>Вопросы налоговых и бюджетных правоотн. в суд..: Моногр./Х.В.Пешкова-2 изд.-М.:НИЦ ИНФРА-М,2022-253с(О)</t>
  </si>
  <si>
    <t>ВОПРОСЫ НАЛОГОВЫХ И БЮДЖЕТНЫХ ПРАВООТНОШЕНИЙ В СУДЕБНОЙ ПРАКТИКЕ, ИЗД.2</t>
  </si>
  <si>
    <t>978-5-16-014835-9</t>
  </si>
  <si>
    <t>0219</t>
  </si>
  <si>
    <t>218600.07.01</t>
  </si>
  <si>
    <t>Всемирная история госуд. и государствен. упр.: Уч.пос./ А.Ю.Саломатин-М:Норма:НИЦ ИНФРА-М,2022-288с. (П)</t>
  </si>
  <si>
    <t>ВСЕМИРНАЯ ИСТОРИЯ ГОСУДАРСТВА И ГОСУДАРСТВЕННОГО УПРАВЛЕНИЯ</t>
  </si>
  <si>
    <t>Саломатин А. Ю.</t>
  </si>
  <si>
    <t>978-5-91768-401-7</t>
  </si>
  <si>
    <t>022367.24.01</t>
  </si>
  <si>
    <t>Всеобщая история права и гос.: Уч. /В.Г.Графский -3 изд. -М.: Юр.Норма, НИЦ ИНФРА-М, 2024-816с.(п)</t>
  </si>
  <si>
    <t>ВСЕОБЩАЯ ИСТОРИЯ ПРАВА И ГОСУДАРСТВА, ИЗД.3</t>
  </si>
  <si>
    <t>Графский В. Г.</t>
  </si>
  <si>
    <t>978-5-91768-078-1</t>
  </si>
  <si>
    <t>Допущено Министерством образования и науки РФ в качестве учебника для студентов высших учебных заведений, обучающихся по специальности "Юриспруденция"</t>
  </si>
  <si>
    <t>0310</t>
  </si>
  <si>
    <t>128340.07.01</t>
  </si>
  <si>
    <t>Выборы и избират.право в зеркале суд...: Моногр./Е.И.Колюшин-3изд.-М.:Юр.Норма,НИЦ ИНФРА-М,2020-384с</t>
  </si>
  <si>
    <t>ВЫБОРЫ И ИЗБИРАТЕЛЬНОЕ ПРАВО В ЗЕРКАЛЕ СУДЕБНЫХ РЕШЕНИЙ, ИЗД.3</t>
  </si>
  <si>
    <t>Колюшин Е.И.</t>
  </si>
  <si>
    <t>978-5-91768-866-4</t>
  </si>
  <si>
    <t>40.03.01, 40.04.01, 40.05.01, 40.05.02, 40.05.03, 38.03.04</t>
  </si>
  <si>
    <t>0317</t>
  </si>
  <si>
    <t>169150.06.01</t>
  </si>
  <si>
    <t>Выполнение международных договоров РФ: Моногр. / О.И.Тиунов и др.-М.:Юр.Норма,2019.-256 с.(П)</t>
  </si>
  <si>
    <t>ВЫПОЛНЕНИЕ МЕЖДУНАРОДНЫХ ДОГОВОРОВ РОССИЙСКОЙ ФЕДЕРАЦИИ</t>
  </si>
  <si>
    <t>Тиунов О. И., Каширкина А. А., Морозов А. Н., Тиунов О. И.</t>
  </si>
  <si>
    <t>978-5-91768-234-1</t>
  </si>
  <si>
    <t>751368.03.01</t>
  </si>
  <si>
    <t>Высшее положение в преступной иерархии...: Моногр. / П.А.Скобликов-М.:Юр.Норма, НИЦ ИНФРА-М,2023-168с.(П)</t>
  </si>
  <si>
    <t>ВЫСШЕЕ ПОЛОЖЕНИЕ В ПРЕСТУПНОЙ ИЕРАРХИИ: УГОЛОВНЫЙ ЗАКОН, ЕГО ОСНОВАНИЯ, ТОЛКОВАНИЕ И ПРИМЕНЕНИЕ</t>
  </si>
  <si>
    <t>Скобликов П.А.</t>
  </si>
  <si>
    <t>978-5-00156-150-7</t>
  </si>
  <si>
    <t>40.05.04, 40.03.01, 40.05.02, 40.06.01</t>
  </si>
  <si>
    <t>266500.13.01</t>
  </si>
  <si>
    <t>Габитоскопия и портрет. эксперт.: Уч. / Под ред. Россинской Е.Р. - М.:Юр.Норма,НИЦ ИНФРА-М,2024 - 288 с.(П)</t>
  </si>
  <si>
    <t>ГАБИТОСКОПИЯ И ПОРТРЕТНАЯ ЭКСПЕРТИЗА</t>
  </si>
  <si>
    <t>Зинин А. М., Подволоцкий И. Н., Россинская Е. Р.</t>
  </si>
  <si>
    <t>978-5-91768-466-6</t>
  </si>
  <si>
    <t>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</si>
  <si>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784858.01.01</t>
  </si>
  <si>
    <t>Генезис возникновения и развит. теории раздел. властей... / А.Г.Чернявский-М.:НИЦ ИНФРА-М,2024.-435 с.(п)</t>
  </si>
  <si>
    <t>ГЕНЕЗИС ВОЗНИКНОВЕНИЯ И РАЗВИТИЯ ТЕОРИИ РАЗДЕЛЕНИЯ ВЛАСТЕЙ ДО КОНЦА XIX ВЕКА: МЕСТО УЧЕНИЯ В НАУКЕ ГОСУДАРСТВЕННОГО ПРАВА.</t>
  </si>
  <si>
    <t>Чернявский А.Г.</t>
  </si>
  <si>
    <t>978-5-16-017847-9</t>
  </si>
  <si>
    <t>40.05.04, 40.04.01, 40.05.01, 40.05.02, 40.05.03, 38.05.01, 40.06.01</t>
  </si>
  <si>
    <t>796851.01.01</t>
  </si>
  <si>
    <t>Генезис концепта права в ист. полит.-прав. учений: Моногр./ Г.С.Працко-М.:ИЦ РИОР, НИЦ ИНФРА-М,2023-391с.(п)</t>
  </si>
  <si>
    <t>ГЕНЕЗИС КОНЦЕПТА ПРАВА В ИСТОРИИ ПОЛИТИКО-ПРАВОВЫХ УЧЕНИЙ</t>
  </si>
  <si>
    <t>Працко Г.С.</t>
  </si>
  <si>
    <t>978-5-369-01920-7</t>
  </si>
  <si>
    <t>Донской государственный технический университет</t>
  </si>
  <si>
    <t>008792.09.01</t>
  </si>
  <si>
    <t>Генезис преступления. Опыт криминол...: Уч.пос. / В.Н.Кудрявцев - М.:Юр.Норма, НИЦ ИНФРА-М,2023 - 220 с.(П)</t>
  </si>
  <si>
    <t>ГЕНЕЗИС ПРЕСТУПЛЕНИЯ. ОПЫТ КРИМИНОЛОГИЧЕСКОГО МОДЕЛИРОВАНИЯ</t>
  </si>
  <si>
    <t>Кудрявцев В. Н.</t>
  </si>
  <si>
    <t>978-5-91768-710-0</t>
  </si>
  <si>
    <t>0198</t>
  </si>
  <si>
    <t>332200.05.01</t>
  </si>
  <si>
    <t>Генезис уголовно-правового регулирования: Моногр. / В.Д.Филимонов-М.:Юр. НОРМА, НИЦ ИНФРА-М,2024.-128 с.(о)</t>
  </si>
  <si>
    <t>ГЕНЕЗИС УГОЛОВНО-ПРАВОВОГО РЕГУЛИРОВАНИЯ</t>
  </si>
  <si>
    <t>Филимонов В. Д.</t>
  </si>
  <si>
    <t>978-5-91768-585-4</t>
  </si>
  <si>
    <t>40.03.01, 44.03.05</t>
  </si>
  <si>
    <t>Национальный исследовательский Томский государственный университет</t>
  </si>
  <si>
    <t>785898.01.01</t>
  </si>
  <si>
    <t>Генетические исследования...: Моногр. / И.Р.Рустамбеков.-М.:НИЦ ИНФРА-М,2023.-139 с.(Науч.мысль)(п)</t>
  </si>
  <si>
    <t>ГЕНЕТИЧЕСКИЕ ИССЛЕДОВАНИЯ: ПРАВОВЫЕ И ЭТИЧЕСКИЕ АСПЕКТЫ</t>
  </si>
  <si>
    <t>Гулямов С.С., Рустамбеков И.Р., Мадреймова А.С.</t>
  </si>
  <si>
    <t>978-5-16-017993-3</t>
  </si>
  <si>
    <t>Ташкентский государственный юридический университет</t>
  </si>
  <si>
    <t>Январь, 2023</t>
  </si>
  <si>
    <t>757867.02.01</t>
  </si>
  <si>
    <t>Геннадий Семенович Пономарев. Бесстрашный  прокурор. Кн. памяти / Под ред. Герасимова С.-М.:Юр.Норма, 2 изд/2021.-192 с.(П)</t>
  </si>
  <si>
    <t>ГЕННАДИЙ СЕМЕНОВИЧ ПОНОМАРЕВ. БЕССТРАШНЫЙ  ПРОКУРОР. КНИГА ПАМЯТИ, ИЗД.2</t>
  </si>
  <si>
    <t>Герасимов С.</t>
  </si>
  <si>
    <t>978-5-00156-191-0</t>
  </si>
  <si>
    <t>Общее</t>
  </si>
  <si>
    <t>377300.07.01</t>
  </si>
  <si>
    <t>Геноцид в рос. и междунар. угол.праве: Уч.пос. /Е.Д.Ветошкина - М.:Юр.Норма,НИЦ ИНФРА-М,2023 - 128 с(О)</t>
  </si>
  <si>
    <t>ГЕНОЦИД В РОССИЙСКОМ И МЕЖДУНАРОДНОМ УГОЛОВНОМ ПРАВЕ</t>
  </si>
  <si>
    <t>Ветошкина Е.Д.</t>
  </si>
  <si>
    <t>978-5-91768-635-6</t>
  </si>
  <si>
    <t>40.05.04, 40.02.01, 40.02.02, 40.03.01, 40.04.01, 40.05.01, 40.05.02, 40.05.03</t>
  </si>
  <si>
    <t>Московский государственный юридический университет им. О.Е. Кутафина, ф-л Волго-Вятский институт</t>
  </si>
  <si>
    <t>740449.01.01</t>
  </si>
  <si>
    <t>Геосоциология права: Уч. / Л.О.Терновая-М.:НИЦ ИНФРА-М,2023.-332 с.(ВО: Магистратура)(П)</t>
  </si>
  <si>
    <t>ГЕОСОЦИОЛОГИЯ ПРАВА</t>
  </si>
  <si>
    <t>Терновая Л.О.</t>
  </si>
  <si>
    <t>978-5-16-016587-5</t>
  </si>
  <si>
    <t>41.04.04, 40.04.01, 41.04.05, 41.04.03, 41.04.01, 41.04.02, 39.04.01, 40.05.01, 41.04.06</t>
  </si>
  <si>
    <t>Рекомендовано к изданию кафедрой социологии и управления Московского автомобильно-дорожного государственного технического университета (МАДИ)</t>
  </si>
  <si>
    <t>Московский автомобильно-дорожный государственный технический университет</t>
  </si>
  <si>
    <t>795333.02.01</t>
  </si>
  <si>
    <t>Глава государства в странах СНГ: Моногр. / А.В.Нечкин-М.:Юр. НОРМА,2024.-288 с.(П)</t>
  </si>
  <si>
    <t>ГЛАВА ГОСУДАРСТВА В СТРАНАХ СНГ</t>
  </si>
  <si>
    <t>Нечкин А.В.</t>
  </si>
  <si>
    <t>978-5-00156-278-8</t>
  </si>
  <si>
    <t>40.05.04, 40.04.01, 40.05.01, 40.05.02, 40.06.01</t>
  </si>
  <si>
    <t>128330.09.01</t>
  </si>
  <si>
    <t>Глава государства. Сравнит.-прав. исслед.: Моногр. /В.Е.Чиркин - 2 изд. - Норма: ИНФРА-М,  2023-240с. (о)</t>
  </si>
  <si>
    <t>ГЛАВА ГОСУДАРСТВА. СРАВНИТЕЛЬНО-ПРАВОВОЕ ИССЛЕДОВАНИЕ, ИЗД.2</t>
  </si>
  <si>
    <t>Чиркин В. Е.</t>
  </si>
  <si>
    <t>978-5-91768-453-6</t>
  </si>
  <si>
    <t>40.03.01, 40.04.01, 38.03.04</t>
  </si>
  <si>
    <t>633935.10.01</t>
  </si>
  <si>
    <t>Глоссарий юр. терминов по антикоррупц. темат.: Сл. / Н.А.Власенко.-М.:НИЦ ИНФРА-М,2023-168с(О)</t>
  </si>
  <si>
    <t>ГЛОССАРИЙ ЮРИДИЧЕСКИХ ТЕРМИНОВ ПО АНТИКОРРУПЦИОННОЙ ТЕМАТИКЕ</t>
  </si>
  <si>
    <t>Власенко Н.А., Цирин А.М., Спектор Е.И. и др.</t>
  </si>
  <si>
    <t>978-5-16-012084-3</t>
  </si>
  <si>
    <t>Словарь-справочник</t>
  </si>
  <si>
    <t>40.03.01, 40.04.01, 40.05.01, 40.05.02, 40.05.03, 38.03.01</t>
  </si>
  <si>
    <t>645911.07.01</t>
  </si>
  <si>
    <t>Горное право: Уч. / А.В.Лагуткин - М.:НИЦ ИНФРА-М,2023 - 268 с.-(ВО)(П)</t>
  </si>
  <si>
    <t>ГОРНОЕ ПРАВО</t>
  </si>
  <si>
    <t>Лагуткин А.В.</t>
  </si>
  <si>
    <t>978-5-16-018448-7</t>
  </si>
  <si>
    <t>768723.01.01</t>
  </si>
  <si>
    <t>Государственная деят. и эконом. функция права: Моногр. / А.Г.Чернявский - М.:НИЦ ИНФРА-М,2022-176 с.(О)</t>
  </si>
  <si>
    <t>ГОСУДАРСТВЕННАЯ ДЕЯТЕЛЬНОСТЬ И ЭКОНОМИЧЕСКАЯ ФУНКЦИЯ ПРАВА: ФИЛОСОФСКО-ПРАВОВОЕ ИССЛЕДОВАНИЕ</t>
  </si>
  <si>
    <t>978-5-16-017333-7</t>
  </si>
  <si>
    <t>40.03.01, 40.04.01, 38.04.01, 38.06.01, 40.06.01, 38.03.01</t>
  </si>
  <si>
    <t>458050.09.01</t>
  </si>
  <si>
    <t>Государственная орг. общественной жизнедеят..: Моногр. /А.Д.Керимов -М.: Юр.Норма, НИЦ ИНФРА-М, 2024.-192 с.(п)</t>
  </si>
  <si>
    <t>ГОСУДАРСТВЕННАЯ ОРГАНИЗАЦИЯ ОБЩЕСТВЕННОЙ ЖИЗНЕДЕЯТЕЛЬНОСТИ: ВОПРОСЫ ТЕОРИИ</t>
  </si>
  <si>
    <t>Керимов А. Д.</t>
  </si>
  <si>
    <t>978-5-91768-448-2</t>
  </si>
  <si>
    <t>714041.02.01</t>
  </si>
  <si>
    <t>Государственная регламентация образоват. деят.:Моногр./ А.Г.Чернявский -М.:НИЦ ИНФРА-М,2023.-200 с(П)</t>
  </si>
  <si>
    <t>ГОСУДАРСТВЕННАЯ РЕГЛАМЕНТАЦИЯ ОБРАЗОВАТЕЛЬНОЙ ДЕЯТЕЛЬНОСТИ</t>
  </si>
  <si>
    <t>Чернявский А.Г., Пашенцев Д.А., Ладнушкина Н.М. и др.</t>
  </si>
  <si>
    <t>978-5-16-015463-3</t>
  </si>
  <si>
    <t>44.04.02, 44.04.01, 44.04.04, 44.03.01, 44.03.05</t>
  </si>
  <si>
    <t>457900.03.01</t>
  </si>
  <si>
    <t>Государственная служба в учр..: Моногр. / А.В.Каляшин, - 2-изд.-М.:ИЦ РИОР, НИЦ ИНФРА-М,2018-99с.(О)</t>
  </si>
  <si>
    <t>ГОСУДАРСТВЕННАЯ СЛУЖБА В УЧРЕЖДЕНИЯХ И ОРГАНАХ УГОЛОВНО-ИСПОЛНИТЕЛЬНОЙ СИСТЕМЫ РФ: ТЕОРИЯ И ПРАКТИКА РАЗВИТИЯ, ИЗД.2</t>
  </si>
  <si>
    <t>Каляшин А.В.</t>
  </si>
  <si>
    <t>978-5-369-01588-9</t>
  </si>
  <si>
    <t>Владимирский юридический институт Федеральной службы исполнения наказаний</t>
  </si>
  <si>
    <t>332100.08.01</t>
  </si>
  <si>
    <t>Государственная служба и служеб. право: Уч.пос./ Ю.Н.Старилов -2изд.-М.:Юр.НОРМА, НИЦ ИНФРА-М,2023.-448 с.(п)</t>
  </si>
  <si>
    <t>ГОСУДАРСТВЕННАЯ СЛУЖБА И СЛУЖЕБНОЕ ПРАВО, ИЗД.2</t>
  </si>
  <si>
    <t>Старилов Ю. Н.</t>
  </si>
  <si>
    <t>978-5-00156-285-6</t>
  </si>
  <si>
    <t>332100.06.01</t>
  </si>
  <si>
    <t>Государственная служба и служеб.право: Уч.пос. /Ю.Н.Старилов -М.:Юр.Норма,НИЦ ИНФРА-М,2018-240с(о)</t>
  </si>
  <si>
    <t>ГОСУДАРСТВЕННАЯ СЛУЖБА И СЛУЖЕБНОЕ ПРАВО</t>
  </si>
  <si>
    <t>978-5-91768-701-8</t>
  </si>
  <si>
    <t>684043.04.01</t>
  </si>
  <si>
    <t>Государственная служба РФ в правоохранит. сфере...: Моногр./ Р.В.Нагорных-М.:НИЦ ИНФРА-М,2024-190с.(п)</t>
  </si>
  <si>
    <t>ГОСУДАРСТВЕННАЯ СЛУЖБА РОССИЙСКОЙ ФЕДЕРАЦИИ В ПРАВООХРАНИТЕЛЬНОЙ СФЕРЕ: ПРОБЛЕМЫ ТЕОРИИ И ПРАКТИКИ АДМИНИСТРАТИВНО-ПРАВОВОГО РЕГУЛИРОВАНИЯ</t>
  </si>
  <si>
    <t>Нагорных Р.В.</t>
  </si>
  <si>
    <t>978-5-16-014080-3</t>
  </si>
  <si>
    <t>40.03.01, 40.04.01, 38.04.04, 40.05.02, 38.03.04</t>
  </si>
  <si>
    <t>Вологодский институт права и экономики Федеральной службы исполнения наказаний</t>
  </si>
  <si>
    <t>651700.05.01</t>
  </si>
  <si>
    <t>Государственное регулиров.рыночной эконом..: Моногр./Е.П.Губин -М.:Юр.Норма,НИЦ ИНФРА-М,2023-320с(П)</t>
  </si>
  <si>
    <t>ГОСУДАРСТВЕННОЕ РЕГУЛИРОВАНИЕ РЫНОЧНОЙ ЭКОНОМИКИ И ПРЕДПРИНИМАТЕЛЬСТВА: ПРАВОВЫЕ ПРОБЛЕМЫ</t>
  </si>
  <si>
    <t>Губин Е.П.</t>
  </si>
  <si>
    <t>978-5-91768-836-7</t>
  </si>
  <si>
    <t>40.03.01, 40.04.01, 38.03.01, 38.03.04, 44.03.01, 44.03.05</t>
  </si>
  <si>
    <t>684233.07.01</t>
  </si>
  <si>
    <t>Государственное регулирование деят. соц. ориентир..: Моногр. / А.В.Барков - М.:НИЦ ИНФРА-М,2023 - 181с.(О)</t>
  </si>
  <si>
    <t>ГОСУДАРСТВЕННОЕ РЕГУЛИРОВАНИЕ ДЕЯТЕЛЬНОСТИ СОЦИАЛЬНО ОРИЕНТИРОВАННЫХ НЕКОММЕРЧЕСКИХ ОРГАНИЗАЦИЙ</t>
  </si>
  <si>
    <t>Барков А.В., Ручкина Г.Ф., Демченко М.В. и др.</t>
  </si>
  <si>
    <t>Научная мысль - Финансовый университет</t>
  </si>
  <si>
    <t>978-5-16-016706-0</t>
  </si>
  <si>
    <t>46.03.02, 40.03.01, 44.03.05, 39.03.02</t>
  </si>
  <si>
    <t>670831.02.01</t>
  </si>
  <si>
    <t>Государственное регулирование цен (тарифов) в РФ: Уч.пос. / С.Н.Зайкова -М.:НИЦ ИНФРА-М,2018-247с(П)</t>
  </si>
  <si>
    <t>ГОСУДАРСТВЕННОЕ РЕГУЛИРОВАНИЕ ЦЕН (ТАРИФОВ) В РОССИЙСКОЙ ФЕДЕРАЦИИ: АДМИНИСТРАТИВНО-ПРАВОВОЙ АСПЕКТ</t>
  </si>
  <si>
    <t>978-5-16-014046-9</t>
  </si>
  <si>
    <t>40.02.01, 40.02.02, 38.02.07, 46.03.02, 40.03.01, 40.04.01, 38.03.01, 38.03.04, 44.03.01, 44.03.05, 40.02.03</t>
  </si>
  <si>
    <t>154400.07.01</t>
  </si>
  <si>
    <t>Государственное устр-во федераций в сост. Европ. союза: Уч. пос. / И.В.Лексин - ИД ФОРУМ, 2022 - 272с. (п)</t>
  </si>
  <si>
    <t>ГОСУДАРСТВЕННОЕ УСТРОЙСТВО ФЕДЕРАЦИЙ В СОСТАВЕ ЕВРОПЕЙСКОГО СОЮЗА</t>
  </si>
  <si>
    <t>Лексин И. В.</t>
  </si>
  <si>
    <t>978-5-8199-0476-3</t>
  </si>
  <si>
    <t>Рекомендовано Ученым советом факультета государственного управления МГУ им. М. В. Ломоносова в качестве учебного пособия для студентов управленческих специальностей вузов</t>
  </si>
  <si>
    <t>Московский государственный университет им. М.В. Ломоносова, факультет государственного управления</t>
  </si>
  <si>
    <t>161450.05.01</t>
  </si>
  <si>
    <t>Государственно-правовые основы организации...: Моногр. / К.Л.Яковлев-М.:НИЦ ИНФРА-М, 2019-160с.(О)</t>
  </si>
  <si>
    <t>ГОСУДАРСТВЕННО-ПРАВОВЫЕ ОСНОВЫ ОРГАНИЗАЦИИ ПРАВООХРАНИТЕЛЬНЫХ ОРГАНОВ ЗАРУБЕЖНЫХ СТРАН</t>
  </si>
  <si>
    <t>Яковлев К.Л., Яковлева Е.И., Яковлева О.Н.</t>
  </si>
  <si>
    <t>978-5-16-005110-9</t>
  </si>
  <si>
    <t>796009.01.01</t>
  </si>
  <si>
    <t>Государственно-территориальное устройство России: Моногр. / И.А.Иванников-М.:НИЦ ИНФРА-М,2023.-157 с.(о)</t>
  </si>
  <si>
    <t>ГОСУДАРСТВЕННО-ТЕРРИТОРИАЛЬНОЕ УСТРОЙСТВО РОССИИ: ПОИСК ИДЕАЛЬНОЙ ФОРМЫ</t>
  </si>
  <si>
    <t>Иванников И.А.</t>
  </si>
  <si>
    <t>978-5-16-018173-8</t>
  </si>
  <si>
    <t>Всероссийский государственный университет юстиции (РПА Минюста России), ф-л Сочинский ф-л</t>
  </si>
  <si>
    <t>Июнь, 2023</t>
  </si>
  <si>
    <t>668487.01.01</t>
  </si>
  <si>
    <t>Государственные и муниципальные закупки: Уч.пос.: В 2 ч. Ч.2 / В.В.Мельников-М.:НИЦ ИНФРА-М,2022-169с(П)</t>
  </si>
  <si>
    <t>ГОСУДАРСТВЕННЫЕ И МУНИЦИПАЛЬНЫЕ ЗАКУПКИ: В 2 ЧАСТЯХ, Т.2</t>
  </si>
  <si>
    <t>Мельников В.В.</t>
  </si>
  <si>
    <t>978-5-16-016318-5</t>
  </si>
  <si>
    <t>56.05.01, 38.04.01, 38.04.06, 38.04.02, 38.04.04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</si>
  <si>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 (протокол № 1 от 12.01.2022)</t>
  </si>
  <si>
    <t>Новосибирский государственный университет экономики и управления</t>
  </si>
  <si>
    <t>657954.06.01</t>
  </si>
  <si>
    <t>Государственные и муниципальные закупки: Уч.пос.: В 2ч.Ч.1 /В.В.Мельников-М.:НИЦ ИНФРА-М,2023-165(П)</t>
  </si>
  <si>
    <t>ГОСУДАРСТВЕННЫЕ И МУНИЦИПАЛЬНЫЕ ЗАКУПКИ</t>
  </si>
  <si>
    <t>978-5-16-013265-5</t>
  </si>
  <si>
    <t>40.05.04, 38.04.09, 40.04.01, 38.04.01, 38.04.04, 40.05.01, 40.05.02, 40.05.03, 44.03.01</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</si>
  <si>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t>
  </si>
  <si>
    <t>670273.02.01</t>
  </si>
  <si>
    <t>Государственный долг России в сист. финанс. права: Моногр. / Ю.К.Цареградская - М:ИНФРА-М,2022-166с(О)</t>
  </si>
  <si>
    <t>ГОСУДАРСТВЕННЫЙ ДОЛГ РОССИИ В СИСТЕМЕ ФИНАНСОВОГО ПРАВА</t>
  </si>
  <si>
    <t>Цареградская Ю.К.</t>
  </si>
  <si>
    <t>978-5-16-013838-1</t>
  </si>
  <si>
    <t>40.03.01, 38.04.09, 40.04.01, 38.04.08, 44.03.05</t>
  </si>
  <si>
    <t>636298.06.01</t>
  </si>
  <si>
    <t>Государственный и общ. контроль в мех. обесп.без. РФ: Моногр./ Ю.Г.Федотова-М.:НИЦ ИНФРА-М,2022-220с</t>
  </si>
  <si>
    <t>ГОСУДАРСТВЕННЫЙ И ОБЩЕСТВЕННЫЙ КОНТРОЛЬ В МЕХАНИЗМЕ ОБЕСПЕЧЕНИЯ БЕЗОПАСНОСТИ РОССИЙСКОЙ ФЕДЕРАЦИИ</t>
  </si>
  <si>
    <t>978-5-16-012157-4</t>
  </si>
  <si>
    <t>797734.01.01</t>
  </si>
  <si>
    <t>Государственный финансовый контроль...: Уч.пос. / А.Н.Козырин.-М.:Юр. НОРМА, НИЦ ИНФРА-М,2023.-216 с.(п)</t>
  </si>
  <si>
    <t>ГОСУДАРСТВЕННЫЙ ФИНАНСОВЫЙ КОНТРОЛЬ: ФЕДЕРАЛЬНЫЕ ИНСТИТУТЫ</t>
  </si>
  <si>
    <t>Козырин А.Н., Ялбулганов А.А., Артюхин Р.Е.</t>
  </si>
  <si>
    <t>978-5-00156-283-2</t>
  </si>
  <si>
    <t>38.04.09, 40.04.01</t>
  </si>
  <si>
    <t>481050.06.01</t>
  </si>
  <si>
    <t>Государство и бизнес в системе правовых координат: Моногр. / А.В.Габов - М.:НИЦ ИНФРА-М,2022 - 320 с.(п)</t>
  </si>
  <si>
    <t>ГОСУДАРСТВО И БИЗНЕС В СИСТЕМЕ ПРАВОВЫХ КООРДИНАТ</t>
  </si>
  <si>
    <t>Габов А.В., Литовкин В.Н., Гутников О.В. и др.</t>
  </si>
  <si>
    <t>978-5-16-010400-3</t>
  </si>
  <si>
    <t>40.03.01, 38.04.09, 40.04.01, 38.04.01, 38.04.02, 38.04.04, 38.03.01, 38.03.02, 38.03.04</t>
  </si>
  <si>
    <t>645363.04.01</t>
  </si>
  <si>
    <t>Государство.Гражданское общество.Право: Моногр./Под ред.Чернявского А.Г.-М.:НИЦ ИНФРА-М,2023-343с(п)</t>
  </si>
  <si>
    <t>ГОСУДАРСТВО. ГРАЖДАНСКОЕ ОБЩЕСТВО. ПРАВО</t>
  </si>
  <si>
    <t>Чернявский А.Г., Грудцына Л.Ю., Пашенцев Д.А. и др.</t>
  </si>
  <si>
    <t>978-5-16-012388-2</t>
  </si>
  <si>
    <t>436750.08.01</t>
  </si>
  <si>
    <t>Государство: Монография / Ю.А.Тихомиров - М.: Юр.Норма, НИЦ ИНФРА-М, 2023 - 320 с.(П)</t>
  </si>
  <si>
    <t>ГОСУДАРСТВО</t>
  </si>
  <si>
    <t>Тихомиров Ю. А.</t>
  </si>
  <si>
    <t>978-5-91768-379-9</t>
  </si>
  <si>
    <t>40.03.01, 40.04.01, 40.05.01, 40.05.02, 40.05.03, 40.06.01</t>
  </si>
  <si>
    <t>682537.04.01</t>
  </si>
  <si>
    <t>Граждане как субъекты механизма адм.-прав. обесп.обороны и безоп.РФ: Моногр. / Ю.Г.Федотова-М.:НИЦ ИНФРА-М,2022-221с (О)</t>
  </si>
  <si>
    <t>ГРАЖДАНЕ КАК СУБЪЕКТЫ МЕХАНИЗМА АДМИНИСТРАТИВНО-ПРАВОВОГО ОБЕСПЕЧЕНИЯ ОБОРОНЫ И БЕЗОПАСНОСТИ РОССИЙСКОЙ ФЕДЕРАЦИИ</t>
  </si>
  <si>
    <t>978-5-16-014278-4</t>
  </si>
  <si>
    <t>40.03.01, 40.04.01, 40.05.01, 40.05.02, 38.03.04, 44.03.05</t>
  </si>
  <si>
    <t>682304.01.01</t>
  </si>
  <si>
    <t>Гражданский проц. и римск. право в России XIX - нач. ХХ вв.: ...: монография / Е.А.Апольский-М.:ИЦ РИОР, НИЦ ИНФРА-М,2019.-195 с..-(Науч.мысль)(о)</t>
  </si>
  <si>
    <t>ГРАЖДАНСКИЙ ПРОЦЕСС И РИМСКОЕ ПРАВО В РОССИИ XIX - НАЧАЛА ХХ ВВ.: ОПЫТ ДИСКУРСИВНОГО ОСМЫСЛЕНИЯ</t>
  </si>
  <si>
    <t>Апольский Е.А., Мордовцев А.Ю.</t>
  </si>
  <si>
    <t>978-5-369-01793-7</t>
  </si>
  <si>
    <t>Всероссийский государственный университет юстиции (РПА Минюста России)</t>
  </si>
  <si>
    <t>024222.19.01</t>
  </si>
  <si>
    <t>Гражданский процесс / И.В.Решетникова - 8 изд, - М.:Юр.Норма, НИЦ ИНФРА-М,2023 - 272 с.(О)</t>
  </si>
  <si>
    <t>ГРАЖДАНСКИЙ ПРОЦЕСС, ИЗД.8</t>
  </si>
  <si>
    <t>Решетникова И.В., Ярков В.В.</t>
  </si>
  <si>
    <t>Краткие учебные курсы юридических наук</t>
  </si>
  <si>
    <t>978-5-00156-061-6</t>
  </si>
  <si>
    <t>0820</t>
  </si>
  <si>
    <t>024222.14.01</t>
  </si>
  <si>
    <t>Гражданский процесс / И.В.Решетникова, - 7-е изд., перераб.-М.:Юр.Норма, НИЦ ИНФРА-М,2019.-304 с..-(Краткие учебные курсы юридических наук)(О. К</t>
  </si>
  <si>
    <t>ГРАЖДАНСКИЙ ПРОЦЕСС, ИЗД.7</t>
  </si>
  <si>
    <t>978-5-91768-730-8</t>
  </si>
  <si>
    <t>683235.09.01</t>
  </si>
  <si>
    <t>Гражданский процесс: Уч. / И.В.Решетникова - 2 изд. - М.:Юр.Норма, НИЦ ИНФРА-М,2024 - 272 с.(СПО)(П)</t>
  </si>
  <si>
    <t>ГРАЖДАНСКИЙ ПРОЦЕСС, ИЗД.2</t>
  </si>
  <si>
    <t>978-5-00156-145-3</t>
  </si>
  <si>
    <t>683235.02.01</t>
  </si>
  <si>
    <t>Гражданский процесс: Уч. / И.В.Решетникова - М.:Юр.Норма, НИЦ ИНФРА-М,2019 - 304 с.-(СПО)(П)</t>
  </si>
  <si>
    <t>ГРАЖДАНСКИЙ ПРОЦЕСС</t>
  </si>
  <si>
    <t>978-5-91768-924-1</t>
  </si>
  <si>
    <t>707008.05.01</t>
  </si>
  <si>
    <t>Гражданский процесс: Уч. / Под ред. Демичева А.А. - М.:НИЦ ИНФРА-М,2023 - 404 с.-(ВО)</t>
  </si>
  <si>
    <t>Демичев А.А., Грачева О.С., Ильин И.В. и др.</t>
  </si>
  <si>
    <t>Военное образование</t>
  </si>
  <si>
    <t>978-5-16-018504-0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</si>
  <si>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40.00.00 «Юриспруденция» (квалификация и степень «юрист» и «бакалавр») протокол № 18 от 25.11.2019)</t>
  </si>
  <si>
    <t>Нижегородская академия Министерства внутренних дел Российской Федерации</t>
  </si>
  <si>
    <t>747818.01.01</t>
  </si>
  <si>
    <t>Гражданский процесс: Уч. / Под ред. Демичева А.А.-М.:НИЦ ИНФРА-М,2021.-404 с.(СПО)(П)</t>
  </si>
  <si>
    <t>978-5-16-016640-7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</si>
  <si>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8 от 22.06.2020)</t>
  </si>
  <si>
    <t>ПО2</t>
  </si>
  <si>
    <t>645269.07.01</t>
  </si>
  <si>
    <t>Гражданский процесс: Уч. / Под ред. Филиппова П.М.- 5 изд.-М.:НИЦ ИНФРА-М,2023-479с(ВО:Бакалавр.)(П)</t>
  </si>
  <si>
    <t>ГРАЖДАНСКИЙ ПРОЦЕСС, ИЗД.5</t>
  </si>
  <si>
    <t>Алябьев Д.Н., Батурина Н.И., Белоножкин А.Ю. и др.</t>
  </si>
  <si>
    <t>978-5-16-012654-8</t>
  </si>
  <si>
    <t>Волгоградская академия Министерства внутренних дел Российской Федерации</t>
  </si>
  <si>
    <t>0517</t>
  </si>
  <si>
    <t>167700.07.01</t>
  </si>
  <si>
    <t>Гражданский процесс: Уч. / С.З.Женетль, - 6 изд.-М.:ИЦ РИОР, НИЦ ИНФРА-М,2019-415с.(ВО:Бакалавр.)(П)</t>
  </si>
  <si>
    <t>ГРАЖДАНСКИЙ ПРОЦЕСС, ИЗД.6</t>
  </si>
  <si>
    <t>Женетль С.З., Никифоров А.В.</t>
  </si>
  <si>
    <t>978-5-369-01705-0</t>
  </si>
  <si>
    <t>Рекомендовано Мин. обр. и науки РФ в качестве учебника для студентов высших учебных заведений, обучающихся по направлению "Юриспруденция"</t>
  </si>
  <si>
    <t>0618</t>
  </si>
  <si>
    <t>450550.07.01</t>
  </si>
  <si>
    <t>Гражданское право Германии: хрестоматия избр. произв...  / Сост.Р.С.Куракин - РИОР:ИНФРА-М,2023-320с(О)</t>
  </si>
  <si>
    <t>ГРАЖДАНСКОЕ ПРАВО ГЕРМАНИИ</t>
  </si>
  <si>
    <t>Куракин Р.С., Семенова Е.В., Нечаев В.М.</t>
  </si>
  <si>
    <t>978-5-369-01277-2</t>
  </si>
  <si>
    <t>Хрестоматия</t>
  </si>
  <si>
    <t>40.02.01, 40.03.01, 40.04.01, 44.03.05</t>
  </si>
  <si>
    <t>Национальный исследовательский университет "Высшая школа экономики", ф-л Нижний Новгород</t>
  </si>
  <si>
    <t>490400.09.01</t>
  </si>
  <si>
    <t>Гражданское право. В 2 т. Т. 2: Уч. / А.А.Демичев - 2 изд.-М.:НИЦ ИНФРА-М,2023.-602 с.(ВО.Спец.)(п)</t>
  </si>
  <si>
    <t>ГРАЖДАНСКОЕ ПРАВО, Т.2, ИЗД.2</t>
  </si>
  <si>
    <t>Демичев А.А., Ершов Н.Н., Ильин И.В. и др.</t>
  </si>
  <si>
    <t>Высшее образование: Специалитет</t>
  </si>
  <si>
    <t>978-5-16-016574-5</t>
  </si>
  <si>
    <t>40.05.04, 40.03.01, 40.05.01, 40.05.02, 40.05.03, 44.03.05, 41.03.06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</si>
  <si>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(протокол № 9 от 17.11.2021)</t>
  </si>
  <si>
    <t>Апрель, 2023</t>
  </si>
  <si>
    <t>727751.04.01</t>
  </si>
  <si>
    <t>Гражданское право. Общая часть: Уч. / Под ред. Болтановой Е.С. - М.:НИЦ ИНФРА-М,2023 - 515 с.(ВО)(П)</t>
  </si>
  <si>
    <t>ГРАЖДАНСКОЕ ПРАВО. ОБЩАЯ ЧАСТЬ</t>
  </si>
  <si>
    <t>Болтанова Е.С., Багрова Н.В., Баришпольская Т.Ю. и др.</t>
  </si>
  <si>
    <t>978-5-16-018457-9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</si>
  <si>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8 от 22.06.2020)</t>
  </si>
  <si>
    <t>692970.03.01</t>
  </si>
  <si>
    <t>Гражданское право. Особенная часть: Уч. / Е.Н.Романова - М.:ИЦ РИОР,НИЦ ИНФРА-М,2020 - 193 с.(О)</t>
  </si>
  <si>
    <t>ГРАЖДАНСКОЕ ПРАВО. ОСОБЕННАЯ ЧАСТЬ</t>
  </si>
  <si>
    <t>Романова Е.Н., Шаповал О.В.</t>
  </si>
  <si>
    <t>978-5-369-01786-9</t>
  </si>
  <si>
    <t>747879.04.01</t>
  </si>
  <si>
    <t>Гражданское право. Особенная часть: Уч. / Н.В.Багрова.-М.:НИЦ ИНФРА-М,2023.-583 с.(ВО)(П)</t>
  </si>
  <si>
    <t>Багрова Н.В., Баришпольская Т.Ю., Бевзенко Р.С. и др.</t>
  </si>
  <si>
    <t>978-5-16-018454-8</t>
  </si>
  <si>
    <t>46.03.02, 40.03.01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</si>
  <si>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11.05.2022)</t>
  </si>
  <si>
    <t>012559.14.01</t>
  </si>
  <si>
    <t>Гражданское право. Уч. для средних специальных учебных заведений: уч. / С.П.Гришаев и др., - 3-е изд.-М.:Юр. НОРМА, НИЦ ИНФРА-М,2</t>
  </si>
  <si>
    <t>ГРАЖДАНСКОЕ ПРАВО, ИЗД.3</t>
  </si>
  <si>
    <t>Гришаев С.П., Богачева Т.В., Свит Ю.П. и др.</t>
  </si>
  <si>
    <t>Ab ovo</t>
  </si>
  <si>
    <t>978-5-91768-105-4</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</si>
  <si>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специальности «Юриспруденция»</t>
  </si>
  <si>
    <t>085760.05.01</t>
  </si>
  <si>
    <t>Гражданское право. Ч. 1,3 и 4: Шпаргалка-5 изд.-М.:ИЦ РИОР, Д РИОР,2015-40с-(Шпаргалка [разр.])(О)</t>
  </si>
  <si>
    <t>ГРАЖДАНСКОЕ ПРАВО. ЧАСТИ 1,3 И 4, ИЗД.5</t>
  </si>
  <si>
    <t>Шпаргалка [разрезная]</t>
  </si>
  <si>
    <t>978-5-369-01389-2</t>
  </si>
  <si>
    <t>0515</t>
  </si>
  <si>
    <t>076320.07.01</t>
  </si>
  <si>
    <t>Гражданское право. Часть 2: Шпаргалка. - 5 изд. - М.: ИЦ РИОР. - 240 с.(Шпаргалки на 5+) (о) к.ф.</t>
  </si>
  <si>
    <t>ГРАЖДАНСКОЕ ПРАВО. ЧАСТЬ 2, ИЗД.5</t>
  </si>
  <si>
    <t>Шпаргалки на 5+</t>
  </si>
  <si>
    <t>978-5-369-01190-4</t>
  </si>
  <si>
    <t>0516</t>
  </si>
  <si>
    <t>012559.23.01</t>
  </si>
  <si>
    <t>Гражданское право: Уч. / Отв.ред. С.П. Гришаев - 4 изд. - Норма:ИНФРА-М,2021 - 688с(п)-(СПО)</t>
  </si>
  <si>
    <t>ГРАЖДАНСКОЕ ПРАВО, ИЗД.4</t>
  </si>
  <si>
    <t>Гришаев С. П.</t>
  </si>
  <si>
    <t>978-5-91768-904-3</t>
  </si>
  <si>
    <t>Допущено Мин. обр. и науки РФ в качестве учебника для студентов образовательных учреждений среднего пофессионального образования, обучающихся по специальности "Юриспруденция"</t>
  </si>
  <si>
    <t>0418</t>
  </si>
  <si>
    <t>012559.24.01</t>
  </si>
  <si>
    <t>Гражданское право: Уч. / Отв.ред. С.П. Гришаев - 5 изд. - Норма:ИНФРА-М,2023 - 680 с.(п)(СПО)</t>
  </si>
  <si>
    <t>ГРАЖДАНСКОЕ ПРАВО, ИЗД.5</t>
  </si>
  <si>
    <t>Гришаев С.П., Гришаев С.П.</t>
  </si>
  <si>
    <t>978-5-00156-271-9</t>
  </si>
  <si>
    <t>0523</t>
  </si>
  <si>
    <t>239000.11.01</t>
  </si>
  <si>
    <t>Гражданское право: Уч.: В 2 т.Т.1 / И.В.Ильин - 2 изд. - М.:НИЦ ИНФРА-М,2023 - 447 с.-(ВО: Спец.)(П)</t>
  </si>
  <si>
    <t>ГРАЖДАНСКОЕ ПРАВО: В 2 ТОМАХ. ТОМ 1, Т.1, ИЗД.2</t>
  </si>
  <si>
    <t>Ильин И.В., Карпычев М.В., Малютина О.А. и др.</t>
  </si>
  <si>
    <t>978-5-16-016568-4</t>
  </si>
  <si>
    <t>Профессиональное образование / ВО - Специалитет</t>
  </si>
  <si>
    <t>40.05.04, 40.03.01, 40.05.01, 40.05.02, 40.05.03, 41.03.06</t>
  </si>
  <si>
    <t>239000.08.01</t>
  </si>
  <si>
    <t>Гражданское право: Уч.: В 2 т.Т.1 / М.В.Карпычев - М.:ИД ФОРУМ, НИЦ ИНФРА-М,2020 - 400 с.-(ВО)(П)</t>
  </si>
  <si>
    <t>ГРАЖДАНСКОЕ ПРАВО</t>
  </si>
  <si>
    <t>Карпычев М.В., Хужин А.М.</t>
  </si>
  <si>
    <t>978-5-8199-0857-0</t>
  </si>
  <si>
    <t>Рекомендовано УМС НИУ ВШЭ — Нижний Новгород в качестве учебника для студентов высших учебных заведений, обучающихся по направлению 40.03.01 «Юриспруденция»</t>
  </si>
  <si>
    <t>490400.10.01</t>
  </si>
  <si>
    <t>Гражданское право: Уч.: В 2 т.Т.2 / Под общ.ред. М.В.Карпычева-М.:ИД ФОРУМ,НИЦ ИНФРА-М,2023-560с(ВО)(П)</t>
  </si>
  <si>
    <t>978-5-8199-0749-8</t>
  </si>
  <si>
    <t>662176.07.01</t>
  </si>
  <si>
    <t>Гражданское право: Уч.: Ч.2 / Под ред. Ивановой С.А. - 2 изд.-Москва:НИЦ ИНФРА-М,2023.-626 с.(ВО)(п)</t>
  </si>
  <si>
    <t>ГРАЖДАНСКОЕ ПРАВО, ИЗД.2</t>
  </si>
  <si>
    <t>Алпатов Ю.М., Белов В.Е., Беседкина Н.И. и др.</t>
  </si>
  <si>
    <t>Высшее образование (Финансовый университет)</t>
  </si>
  <si>
    <t>978-5-16-018543-9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</si>
  <si>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</si>
  <si>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145850.07.01</t>
  </si>
  <si>
    <t>Гражданское право: Уч.пос. / Я.А.Юкша - 4 изд. - М.:ИЦ РИОР, НИЦ ИНФРА-М,2018 - 400 с.-(ВО)(П)</t>
  </si>
  <si>
    <t>Юкша Я.А.</t>
  </si>
  <si>
    <t>978-5-369-01583-4</t>
  </si>
  <si>
    <t>40.05.04, 40.02.01, 40.03.01, 40.05.01, 40.05.02, 40.05.03, 38.03.04, 44.03.05</t>
  </si>
  <si>
    <t>Рекомендовано Мин. обр. и науки РФ в качестве учебного пособия для студентов вузов, обучающихся по специальности "Юриспруденция"</t>
  </si>
  <si>
    <t>0417</t>
  </si>
  <si>
    <t>145850.09.01</t>
  </si>
  <si>
    <t>Гражданское право: Уч.пос. / Я.А.Юкша, - 5 изд.-М.:ИЦ РИОР, НИЦ ИНФРА-М,2023.-404 с.(ВО)(п)</t>
  </si>
  <si>
    <t>978-5-369-01835-4</t>
  </si>
  <si>
    <t>0520</t>
  </si>
  <si>
    <t>084870.08.01</t>
  </si>
  <si>
    <t>Гражданское право: Уч.пос.: Ч.1 / Я.А.Юкша - 5 изд. -М.:ИЦ РИОР, НИЦ ИНФРА-М,2020-252с.(ВО (к. ф))(О)</t>
  </si>
  <si>
    <t>Высшее образование (карман. формат)</t>
  </si>
  <si>
    <t>978-5-369-01701-2</t>
  </si>
  <si>
    <t>084460.05.01</t>
  </si>
  <si>
    <t>Гражданское право: Ч.2: Уч.пос. / Я.А.Юкша - 4 изд. - М.:ИЦ РИОР,НИЦ ИНФРА-М,2020-234 с.(О)</t>
  </si>
  <si>
    <t>ГРАЖДАНСКОЕ ПРАВО: ЧАСТЬ 2, ИЗД.4</t>
  </si>
  <si>
    <t>Юкша Я. А.</t>
  </si>
  <si>
    <t>978-5-369-01644-2</t>
  </si>
  <si>
    <t>211400.07.01</t>
  </si>
  <si>
    <t>Гражданско-правовое регулирование: публич. интер..: Моногр./Л.В.Щенникова - Норма:ИНФРА-М, 2022-144с (о)</t>
  </si>
  <si>
    <t>ГРАЖДАНСКО-ПРАВОВОЕ РЕГУЛИРОВАНИЕ: ПУБЛИЧНЫЕ ИНТЕРЕСЫ, ОБЩИЕ ПОЛЬЗЫ, ДОБРЫЕ НРАВЫ</t>
  </si>
  <si>
    <t>Щенникова Л. В.</t>
  </si>
  <si>
    <t>978-5-91768-392-8</t>
  </si>
  <si>
    <t>Кубанский государственный университет</t>
  </si>
  <si>
    <t>218800.06.01</t>
  </si>
  <si>
    <t>Губернаторство России: история и современ.: Моногр. / О.В.Ерохина - М.: Вуз. уч.: ИНФРА-М, 2023-160с. (п)</t>
  </si>
  <si>
    <t>ГУБЕРНАТОРСТВО РОССИИ: ИСТОРИЯ И СОВРЕМЕННОСТЬ</t>
  </si>
  <si>
    <t>Ерохина О. В.</t>
  </si>
  <si>
    <t>Вузовский учебник</t>
  </si>
  <si>
    <t>Научная книга</t>
  </si>
  <si>
    <t>978-5-9558-0320-3</t>
  </si>
  <si>
    <t>41.03.04, 46.03.01, 40.03.01, 42.03.02, 41.04.04, 46.04.01, 42.04.02, 37.04.02, 38.04.02, 38.04.04, 38.03.02, 38.03.04, 37.03.02, 44.03.05, 41.03.06</t>
  </si>
  <si>
    <t>443900.03.01</t>
  </si>
  <si>
    <t>Гуманизация современного уголовного законодательства: монография / Под ред. Кашепов В.П.-М.:НИЦ ИНФРА-М,2018.-336 с..-(ИЗиСП)(П 7БЦ)</t>
  </si>
  <si>
    <t>ГУМАНИЗАЦИЯ СОВРЕМЕННОГО УГОЛОВНОГО ЗАКОНОДАТЕЛЬСТВА</t>
  </si>
  <si>
    <t>Кашепов В.П.,Гравина А.А.,Кошаева Т.О.и др.</t>
  </si>
  <si>
    <t>978-5-16-011384-5</t>
  </si>
  <si>
    <t>40.03.01, 40.04.01, 40.05.02, 44.03.05</t>
  </si>
  <si>
    <t>149300.08.01</t>
  </si>
  <si>
    <t>Дактилоскопическая экспертиза: совр. сост. и... /В.Е.Корноухов - М.:Юр.Норма,ИНФРА-М,2024-320с.(п)</t>
  </si>
  <si>
    <t>ДАКТИЛОСКОПИЧЕСКАЯ ЭКСПЕРТИЗА: СОВРЕМЕННОЕ СОСТОЯНИЕ И ПЕРСПЕКТИВЫ РАЗВИТИЯ</t>
  </si>
  <si>
    <t>Корноухов В. Е., Ярослав Ю. Ю., Яровенко Т. В.</t>
  </si>
  <si>
    <t>978-5-91768-171-9</t>
  </si>
  <si>
    <t>246800.03.01</t>
  </si>
  <si>
    <t>Двадцать лет Конституции РФ: Моногр. / А.Г.Лисицын-Светланов-М.:Юр.Норма, НИЦ ИНФРА-М,2016-256 с.(П)</t>
  </si>
  <si>
    <t>ДВАДЦАТЬ ЛЕТ КОНСТИТУЦИИ РОССИЙСКОЙ ФЕДЕРАЦИИ</t>
  </si>
  <si>
    <t>Лисицын-Светланов А.Г., Клеандров М.И., Лукашева Е.А. и др.</t>
  </si>
  <si>
    <t>978-5-91768-440-6</t>
  </si>
  <si>
    <t>Московская Школа Экономики</t>
  </si>
  <si>
    <t>053150.13.01</t>
  </si>
  <si>
    <t>Декларация прав и свобод человека и гражданина. - М.: ИД РИОР:  ИНФРА-М, 2023. - 11 с. (О)</t>
  </si>
  <si>
    <t>ДЕКЛАРАЦИЯ ПРАВ И СВОБОД ЧЕЛОВЕКА И ГРАЖДАНИНА</t>
  </si>
  <si>
    <t>978-5-369-00626-9</t>
  </si>
  <si>
    <t>40.02.01, 40.02.02, 40.03.01, 40.04.01, 38.03.04, 44.03.05</t>
  </si>
  <si>
    <t>0104</t>
  </si>
  <si>
    <t>656171.04.01</t>
  </si>
  <si>
    <t>Депоощрение по российскому праву...: Моногр. / В.М.Баранов - М.:НИЦ ИНФРА-М,2023 - 448 с.(П)</t>
  </si>
  <si>
    <t>ДЕПООЩРЕНИЕ ПО РОССИЙСКОМУ ПРАВУ (ДОКТРИНА, ПРАКТИКА, ТЕХНИКА)</t>
  </si>
  <si>
    <t>Баранов В.М., Чернявский А.Г., Девяшин И.В. и др.</t>
  </si>
  <si>
    <t>978-5-16-012869-6</t>
  </si>
  <si>
    <t>785112.01.01</t>
  </si>
  <si>
    <t>Деструктивное воздействие на несовершеннолетних: Моногр. / С.М.Воробьев.-М.:НИЦ ИНФРА-М,2023.-179 с.(П)</t>
  </si>
  <si>
    <t>ДЕСТРУКТИВНОЕ ВОЗДЕЙСТВИЕ НА НЕСОВЕРШЕННОЛЕТНИХ: ТЕОРИЯ И ПРАКТИКА ПРОТИВОДЕЙСТВИЯ</t>
  </si>
  <si>
    <t>Воробьев С.М., Бычкова А.М., Курилкин К.А. и др.</t>
  </si>
  <si>
    <t>978-5-16-017880-6</t>
  </si>
  <si>
    <t>40.04.01, 39.04.02, 40.05.02</t>
  </si>
  <si>
    <t>Академия права и управления Федеральной службы исполнения наказаний</t>
  </si>
  <si>
    <t>753302.02.01</t>
  </si>
  <si>
    <t>Десять лекций о праве: Монография / В.Д.Зорькин-М.:Юр.Норма,ИНФРА-М,2023-400 с.(П)</t>
  </si>
  <si>
    <t>ДЕСЯТЬ ЛЕКЦИЙ О ПРАВЕ</t>
  </si>
  <si>
    <t>978-5-00156-152-1</t>
  </si>
  <si>
    <t>40.05.04, 40.03.01, 40.04.01, 40.06.01</t>
  </si>
  <si>
    <t>255300.10.01</t>
  </si>
  <si>
    <t>Дефекты прав.регулиров.охраны окруж.среды: Моногр. / Н.И.Хлуденева - М.:НИЦ ИНФРА-М, 2023-172 с.(о)</t>
  </si>
  <si>
    <t>ДЕФЕКТЫ ПРАВОВОГО РЕГУЛИРОВАНИЯ ОХРАНЫ ОКРУЖАЮЩЕЙ СРЕДЫ</t>
  </si>
  <si>
    <t>Хлуденева Н. И.</t>
  </si>
  <si>
    <t>978-5-16-016446-5</t>
  </si>
  <si>
    <t>786377.02.01</t>
  </si>
  <si>
    <t>Деятельность уголов.-исполнит. инспекций по..,: Уч.пос. / Е. А. Антонян-М.:НИЦ ИНФРА-М,2023.-255 с.(ВО.Сп)(п)</t>
  </si>
  <si>
    <t>ДЕЯТЕЛЬНОСТЬ УГОЛОВНО-ИСПОЛНИТЕЛЬНЫХ ИНСПЕКЦИЙ ПО ИСПОЛНЕНИЮ НАКАЗАНИЙ, ИНЫХ МЕР УГОЛОВНО-ПРАВОВОГО ХАРАКТЕРА И МЕР ПРЕСЕЧЕНИЯ</t>
  </si>
  <si>
    <t>Антонян Е.А., Бабкина Е.В., Бякина С.И. и др.</t>
  </si>
  <si>
    <t>978-5-16-017964-3</t>
  </si>
  <si>
    <t>56.05.01, 40.05.04, 37.05.02, 40.05.01, 40.05.02</t>
  </si>
  <si>
    <t>347300.05.01</t>
  </si>
  <si>
    <t>Динамика трудового правоотношения: Моногр. - М.:Юр.Норма, НИЦ ИНФРА-М,2023.-192 с.(О)</t>
  </si>
  <si>
    <t>ДИНАМИКА ТРУДОВОГО ПРАВООТНОШЕНИЯ</t>
  </si>
  <si>
    <t>Бондаренко Э.Н.</t>
  </si>
  <si>
    <t>978-5-91768-602-8</t>
  </si>
  <si>
    <t>801662.01.01</t>
  </si>
  <si>
    <t>Дисциплинарная ответственность: правовые механизмы..: Моногр// М.Б.Добробаба-М.:Юр. НОРМА,2023.-352 с.(п)</t>
  </si>
  <si>
    <t>ДИСЦИПЛИНАРНАЯ ОТВЕТСТВЕННОСТЬ: ПРАВОВЫЕ МЕХАНИЗМЫ  ОБЕСПЕЧЕНИЯ ЭФФЕКТИВНОСТИ В СИСТЕМЕ ГОСУДАРСТВЕННОЙ СЛУЖБЫ: ПРОБЛЕМЫ ФОРМИРОВАНИЯ</t>
  </si>
  <si>
    <t>Добробаба М.Б.</t>
  </si>
  <si>
    <t>978-5-00156-297-9</t>
  </si>
  <si>
    <t>40.04.01, 38.04.04, 40.06.01, 38.03.04</t>
  </si>
  <si>
    <t>725344.05.01</t>
  </si>
  <si>
    <t>Доверие. Недоверие. Право: Моногр. / А.Н.Кокотов - М.:Юр.Норма, НИЦ ИНФРА-М,2023 - 192 с.(П)</t>
  </si>
  <si>
    <t>ДОВЕРИЕ. НЕДОВЕРИЕ. ПРАВО</t>
  </si>
  <si>
    <t>Кокотов А.Н.</t>
  </si>
  <si>
    <t>978-5-00156-038-8</t>
  </si>
  <si>
    <t>40.03.01, 40.04.01, 40.05.01, 40.05.02, 40.06.01</t>
  </si>
  <si>
    <t>656014.07.01</t>
  </si>
  <si>
    <t>Договор в гражд.праве России: сравн.-прав.исслед./ Ю.Н.Андреев-М.:Юр.Норма,НИЦ ИНФРА-М,2023-272с.(П)</t>
  </si>
  <si>
    <t>ДОГОВОР В ГРАЖДАНСКОМ ПРАВЕ РОССИИ: СРАВНИТЕЛЬНО-ПРАВОВОЕ ИССЛЕДОВАНИЕ</t>
  </si>
  <si>
    <t>Андреев Ю.Н.</t>
  </si>
  <si>
    <t>978-5-91768-833-6</t>
  </si>
  <si>
    <t>665728.04.01</t>
  </si>
  <si>
    <t>Договор найма жилого помещ. и подоб.ему договоры: Моногр. / Д.А.Формакидов-М.:НИЦ ИНФРА-М,2023-189с.(о)</t>
  </si>
  <si>
    <t>ДОГОВОР НАЙМА ЖИЛОГО ПОМЕЩЕНИЯ И ПОДОБНЫЕ ЕМУ ДОГОВОРЫ</t>
  </si>
  <si>
    <t>978-5-16-013612-7</t>
  </si>
  <si>
    <t>165950.07.01</t>
  </si>
  <si>
    <t>Договор репо в гражданском праве: Моногр./ П.В.Хлюстов - М.:НИЦ ИНФРА-М,2018 - 88 с.(Науч.мысль)(О)</t>
  </si>
  <si>
    <t>ДОГОВОР РЕПО В ГРАЖДАНСКОМ ПРАВЕ</t>
  </si>
  <si>
    <t>Хлюстов П.В.</t>
  </si>
  <si>
    <t>978-5-16-009873-9</t>
  </si>
  <si>
    <t>40.03.01, 40.04.01, 38.04.01, 38.04.08, 40.05.02, 40.05.03, 38.03.01, 44.03.05</t>
  </si>
  <si>
    <t>Институт развития современных образовательных технологий</t>
  </si>
  <si>
    <t>435650.05.01</t>
  </si>
  <si>
    <t>Договор репо: цивилистич. исслед.: Моногр. / П.В.Хлюстов - М.:НИЦ ИНФРА-М,2022 - 198 с.(Науч.мысль)(О)</t>
  </si>
  <si>
    <t>ДОГОВОР РЕПО: ЦИВИЛИСТИЧЕСКОЕ ИССЛЕДОВАНИЕ</t>
  </si>
  <si>
    <t>978-5-16-006698-1</t>
  </si>
  <si>
    <t>40.03.01, 40.04.01, 40.06.01</t>
  </si>
  <si>
    <t>652813.03.01</t>
  </si>
  <si>
    <t>Договорное право в частных и международ.отнош.: Уч.пос. /И.В.Петров-М.:ИЦ РИОР,НИЦ ИНФРА-М,2019-115с</t>
  </si>
  <si>
    <t>ДОГОВОРНОЕ ПРАВО В ЧАСТНЫХ И МЕЖДУНАРОДНЫХ ОТНОШЕНИЯХ</t>
  </si>
  <si>
    <t>Петров И.В., Романова Е.Н., Симатова Е.Л. и др.</t>
  </si>
  <si>
    <t>978-5-369-01661-9</t>
  </si>
  <si>
    <t>40.05.04, 40.03.01, 41.03.05, 40.04.01, 41.04.05, 38.04.01, 40.05.01, 40.05.02, 40.05.03, 38.03.01</t>
  </si>
  <si>
    <t>682682.04.01</t>
  </si>
  <si>
    <t>Договоры в гражданском праве заруб.стран: Моногр. / С.В.Соловьева - М.:Юр.Норма,НИЦ ИНФРА-М,2022-336с(П)</t>
  </si>
  <si>
    <t>ДОГОВОРЫ В ГРАЖДАНСКОМ ПРАВЕ ЗАРУБЕЖНЫХ СТРАН</t>
  </si>
  <si>
    <t>Соловьева С.В., Гайдаенко-Шер Н.И., Грачев Д.О. и др.</t>
  </si>
  <si>
    <t>978-5-91768-911-1</t>
  </si>
  <si>
    <t>253500.05.01</t>
  </si>
  <si>
    <t>Договоры в пользу третьего лица...: Моногр. /Ю.Б.Фогельсон -М.: Юр.Норма, НИЦ ИНФРА-М, 2023. -192 с.(О)</t>
  </si>
  <si>
    <t>ДОГОВОРЫ В ПОЛЬЗУ ТРЕТЬЕГО ЛИЦА. ОПЫТ НЕДОГМАТИЧЕСКОГО ИССЛЕДОВАНИЯ</t>
  </si>
  <si>
    <t>Фогельсон Ю. Б., Ефремова М. Д.</t>
  </si>
  <si>
    <t>978-5-91768-452-9</t>
  </si>
  <si>
    <t>Национальный исследовательский университет "Высшая школа экономики"</t>
  </si>
  <si>
    <t>215200.08.01</t>
  </si>
  <si>
    <t>Дознание в органах внутренних дел:  ист.-правовой аспект: Уч. пос. / М.А.Маков - ИНФРА-М,2023-126с (о)</t>
  </si>
  <si>
    <t>ДОЗНАНИЕ В ОРГАНАХ ВНУТРЕННИХ ДЕЛ:  ИСТОРИКО-ПРАВОВОЙ АСПЕКТ</t>
  </si>
  <si>
    <t>Маков М. А., Борисов А. В., Рыжова Ю. В., Яковлев К. Л., Мулукаев Р. С.</t>
  </si>
  <si>
    <t>978-5-16-006901-2</t>
  </si>
  <si>
    <t>Министерство внутренних дел Российской Федерации</t>
  </si>
  <si>
    <t>095810.16.01</t>
  </si>
  <si>
    <t>Доказательства и доказывание по угол. делам: Моногр. /С.А.Шейфер - 2 изд. - М.:Норма: ИНФРА-М, 2024 -240с(п)</t>
  </si>
  <si>
    <t>ДОКАЗАТЕЛЬСТВА И ДОКАЗЫВАНИЕ ПО УГОЛОВНЫМ ДЕЛАМ: ПРОБЛЕМЫ ТЕОРИИ И ПРАВОВОГО РЕГУЛИРОВАНИЯ, ИЗД.2</t>
  </si>
  <si>
    <t>Шейфер С. А.</t>
  </si>
  <si>
    <t>978-5-16-009310-9</t>
  </si>
  <si>
    <t>Самарский национальный исследовательский университет им. академика С.П. Королева</t>
  </si>
  <si>
    <t>640621.09.01</t>
  </si>
  <si>
    <t>Доказывание и принятие реш. в состяз. угол. судопроизв. / Л.Н.Масленникова   - 2 изд.-М.:Юр.Норма, НИЦ ИНФРА-М,2023-448с(П)</t>
  </si>
  <si>
    <t>ДОКАЗЫВАНИЕ И ПРИНЯТИЕ РЕШЕНИЙ В СОСТЯЗАТЕЛЬНОМ УГОЛОВНОМ СУДОПРОИЗВОДСТВЕ, ИЗД.2</t>
  </si>
  <si>
    <t>Масленникова Л.Н.</t>
  </si>
  <si>
    <t>978-5-00156-153-8</t>
  </si>
  <si>
    <t>640621.04.01</t>
  </si>
  <si>
    <t>Доказывание и принятие реш.в состязат.уголов.судопр.:Моногр./Л.Н.Масленникова -М:Юр.Норма,НИЦ ИНФРА-М,2019-384с(П)</t>
  </si>
  <si>
    <t>ДОКАЗЫВАНИЕ И ПРИНЯТИЕ РЕШЕНИЙ В СОСТЯЗАТЕЛЬНОМ УГОЛОВНОМ СУДОПРОИЗВОДСТВЕ</t>
  </si>
  <si>
    <t>978-5-91768-768-1</t>
  </si>
  <si>
    <t>764165.01.01</t>
  </si>
  <si>
    <t>Доктрина финанс.-правового статуса муниципал. образ. в РФ и его реализация / Покачалова Е.В.-М.:НИЦ ИНФРА-М,2022-480с(П)</t>
  </si>
  <si>
    <t>ДОКТРИНА ФИНАНСОВО-ПРАВОВОГО СТАТУСА МУНИЦИПАЛЬНЫХ ОБРАЗОВАНИЙ В РОССИЙСКОЙ ФЕДЕРАЦИИ И ЕГО РЕАЛИЗАЦИЯ</t>
  </si>
  <si>
    <t>Миронова С.М., Покачалова Е.В.</t>
  </si>
  <si>
    <t>978-5-16-017197-5</t>
  </si>
  <si>
    <t>40.04.01, 38.04.04, 38.06.01, 40.06.01</t>
  </si>
  <si>
    <t>664349.05.01</t>
  </si>
  <si>
    <t>Доктрина, законотворчество, судебная практика: вопр...: Моногр. / Т.Э.Шуберт - М.:НИЦ ИНФРА-М,2024-119с</t>
  </si>
  <si>
    <t>ДОКТРИНА, ЗАКОНОТВОРЧЕСТВО, СУДЕБНАЯ ПРАКТИКА: ВОПРОСЫ ВЗАИМОВЛИЯНИЯ</t>
  </si>
  <si>
    <t>Шуберт Т.Э.</t>
  </si>
  <si>
    <t>978-5-16-013111-5</t>
  </si>
  <si>
    <t>810032.01.01</t>
  </si>
  <si>
    <t>Доктринальные основы практики Верховного Суда РФ / Т.Я.Хабриева-М.:Юр. НОРМА, НИЦ ИНФРА-М,2023.-384 с.(п)</t>
  </si>
  <si>
    <t>ДОКТРИНАЛЬНЫЕ ОСНОВЫ ПРАКТИКИ ВЕРХОВНОГО СУДА РОССИЙСКОЙ ФЕДЕРАЦИИ</t>
  </si>
  <si>
    <t>Хабриева Т.Я.</t>
  </si>
  <si>
    <t>978-5-00156-322-8</t>
  </si>
  <si>
    <t>40.05.04, 40.04.01, 40.06.01</t>
  </si>
  <si>
    <t>797735.01.01</t>
  </si>
  <si>
    <t>Должностные преступления (гл.30 УК РФ). Понятие... / А.В.Галахова-М.:Юр. НОРМА, НИЦ ИНФРА-М,2023.-180 с.(п)</t>
  </si>
  <si>
    <t>ДОЛЖНОСТНЫЕ ПРЕСТУПЛЕНИЯ (ГЛ.30 УК РФ). ПОНЯТИЕ. КВАЛИФИКАЦИЯ</t>
  </si>
  <si>
    <t>Галахова А.В.</t>
  </si>
  <si>
    <t>978-5-00156-282-5</t>
  </si>
  <si>
    <t>Российский государственный университет правосудия, Западно-Сибирский ф-л</t>
  </si>
  <si>
    <t>773947.02.01</t>
  </si>
  <si>
    <t>Допустимые пределы ограничения авторских прав...: Моногр. / Е.В.Балабанова-М.:НИЦ ИНФРА-М,2024.-205 с.(П)</t>
  </si>
  <si>
    <t>ДОПУСТИМЫЕ ПРЕДЕЛЫ ОГРАНИЧЕНИЯ АВТОРСКИХ ПРАВ В КОНТЕКСТЕ ОТЕЧЕСТВЕННОГО, ЗАРУБЕЖНОГО И МЕЖДУНАРОДНОГО ПРАВА</t>
  </si>
  <si>
    <t>Балабанова Е.В.</t>
  </si>
  <si>
    <t>978-5-16-017509-6</t>
  </si>
  <si>
    <t>40.03.01, 40.04.01, 38.04.02</t>
  </si>
  <si>
    <t>166650.08.01</t>
  </si>
  <si>
    <t>Доступная юрид.помощь по гражд.делам:Моногр./А.С.Красногорова-М:НИЦ ИНФРА-М,2023-100с(Науч.мысль)(о)</t>
  </si>
  <si>
    <t>ДОСТУПНАЯ ЮРИДИЧЕСКАЯ ПОМОЩЬ ПО ГРАЖДАНСКИМ ДЕЛАМ</t>
  </si>
  <si>
    <t>Красногорова А.С.</t>
  </si>
  <si>
    <t>978-5-16-005239-7</t>
  </si>
  <si>
    <t>436450.08.01</t>
  </si>
  <si>
    <t>Досудебное производство в России: этапы разв...: Моногр. /С.А.Шейфер -М.:Юр.Норма, НИЦ ИНФРА-М, 2023-192</t>
  </si>
  <si>
    <t>ДОСУДЕБНОЕ ПРОИЗВОДСТВО В РОССИИ: ЭТАПЫ РАЗВИТИЯ СЛЕДСТВЕННОЙ, СУДЕБНОЙ И ПРОКУРОРСКОЙ ВЛАСТИ</t>
  </si>
  <si>
    <t>978-5-91768-380-5</t>
  </si>
  <si>
    <t>760199.03.01</t>
  </si>
  <si>
    <t>Досудебное производство по уголов. делу: Уч. / С.Б.Россинский - М.:Юр.Норма, НИЦ ИНФРА-М,2023 - 232 с.(П)</t>
  </si>
  <si>
    <t>ДОСУДЕБНОЕ ПРОИЗВОДСТВО ПО УГОЛОВНОМУ ДЕЛУ</t>
  </si>
  <si>
    <t>Россинский С.Б.</t>
  </si>
  <si>
    <t>978-5-00156-185-9</t>
  </si>
  <si>
    <t>754143.02.01</t>
  </si>
  <si>
    <t>Досудебное производство по уголовному делу...: Моногр. / С.Б.Россинский-М.:Юр.Норма, ИНФРА-М,2023.-408 с.(П)</t>
  </si>
  <si>
    <t>ДОСУДЕБНОЕ ПРОИЗВОДСТВО ПО УГОЛОВНОМУ ДЕЛУ: СУЩНОСТЬ И СПОСОБЫ СОБИРАНИЯ ДОКАЗАТЕЛЬСТВ</t>
  </si>
  <si>
    <t>978-5-00156-161-3</t>
  </si>
  <si>
    <t>665978.02.01</t>
  </si>
  <si>
    <t>Досудебное согл. о сотруд.: уголовно-процес.и криминал. аспекты: Уч.пос./ Е.И.Попова-М.:НИЦ ИНФРА-М,2022.-168 с.(П)</t>
  </si>
  <si>
    <t>ДОСУДЕБНОЕ СОГЛАШЕНИЕ О СОТРУДНИЧЕСТВЕ: УГОЛОВНО-ПРОЦЕССУАЛЬНЫЙ И КРИМИНАЛИСТИЧЕСКИЙ АСПЕКТЫ</t>
  </si>
  <si>
    <t>Попова Е.И.</t>
  </si>
  <si>
    <t>978-5-16-014760-4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</si>
  <si>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17 от 11.11.2019)</t>
  </si>
  <si>
    <t>Восточно-Сибирский государственный университет технологий и управления</t>
  </si>
  <si>
    <t>446850.06.01</t>
  </si>
  <si>
    <t>Досудебное соглашение о сотрудничестве:: Моногр. / О.Я.Баев-М.:Юр. НОРМА, НИЦ ИНФРА-М,2023.-208 с.(о)</t>
  </si>
  <si>
    <t>ДОСУДЕБНОЕ СОГЛАШЕНИЕ О СОТРУДНИЧЕСТВЕ: ПРАВОВЫЕ И КРИМИНАЛИСТИЧЕСКИЕ ПРОБЛЕМЫ, ВОЗМОЖНЫЕ НАПРАВЛЕНИЯ ИХ РАЗРЕШЕНИЯ</t>
  </si>
  <si>
    <t>Баев О. Я.</t>
  </si>
  <si>
    <t>978-5-91768-412-3</t>
  </si>
  <si>
    <t>648388.07.01</t>
  </si>
  <si>
    <t>Духовная жизнь российск. общ. и формир..: Моногр. / В.Н.Ксенофонтов - М:Норма,НИЦ ИНФРА-М,2024 - 176 с(О)</t>
  </si>
  <si>
    <t>ДУХОВНАЯ ЖИЗНЬ РОССИЙСКОГО ОБЩЕСТВА И ФОРМИРОВАНИЕ ЛИЧНОСТИ ЮРИСТА</t>
  </si>
  <si>
    <t>Гунибский М.Ш., Ксенофонтов В.Н.</t>
  </si>
  <si>
    <t>978-5-91768-797-1</t>
  </si>
  <si>
    <t>813785.01.01</t>
  </si>
  <si>
    <t>Духовная сила рос. имперской государств.: Моногр. / А.Ю.Саломатин-М.:ИЦ РИОР, НИЦ ИНФРА-М,2024.-173 с.(п)</t>
  </si>
  <si>
    <t>ДУХОВНАЯ СИЛА РОССИЙСКОЙ ИМПЕРСКОЙ ГОСУДАРСТВЕННОСТИ</t>
  </si>
  <si>
    <t>978-5-369-01938-2</t>
  </si>
  <si>
    <t>Сентябрь, 2023</t>
  </si>
  <si>
    <t>699270.05.01</t>
  </si>
  <si>
    <t>Европейская конвенция в межд.сист.прав чел.: Моногр. / А.И.Ковлер - М.:Юр.Норма,НИЦ ИНФРА-М,2022-304с(П)</t>
  </si>
  <si>
    <t>ЕВРОПЕЙСКАЯ КОНВЕНЦИЯ В МЕЖДУНАРОДНОЙ СИСТЕМЕ ПРАВ ЧЕЛОВЕКА</t>
  </si>
  <si>
    <t>978-5-91768-990-6</t>
  </si>
  <si>
    <t>699271.05.01</t>
  </si>
  <si>
    <t>Европейская конвенция: проблемы толк..: Моногр.: В 2 т.Т.2 / А.И.Ковлер - М.:Юр.Норма, НИЦ ИНФРА-М,2022 - 400 с.(П)</t>
  </si>
  <si>
    <t>ЕВРОПЕЙСКАЯ КОНВЕНЦИЯ: ПРОБЛЕМЫ ТОЛКОВАНИЯ И ИМПЛЕМЕНТАЦИИ</t>
  </si>
  <si>
    <t>978-5-91768-987-6</t>
  </si>
  <si>
    <t>186350.06.01</t>
  </si>
  <si>
    <t>Европейская модель конституц. судопроизвод.: Моногр./Г.Х.Нуриев-М.:Юр.Норма,НИЦ ИНФРА-М,2019-224с(П)</t>
  </si>
  <si>
    <t>ЕВРОПЕЙСКАЯ МОДЕЛЬ КОНСТИТУЦИОННОГО СУДОПРОИЗВОДСТВА</t>
  </si>
  <si>
    <t>Нуриев Г. Х.</t>
  </si>
  <si>
    <t>978-5-91768-277-8</t>
  </si>
  <si>
    <t>666943.01.01</t>
  </si>
  <si>
    <t>Европейский ордер на арест: право и практ.: Моногр. / Н.А.Сафаров-М.:Юр.Норма, НИЦ ИНФРА-М,2018-608с</t>
  </si>
  <si>
    <t>ЕВРОПЕЙСКИЙ ОРДЕР НА АРЕСТ: ПРАВО И ПРАКТИКА</t>
  </si>
  <si>
    <t>Сафаров Н.А.</t>
  </si>
  <si>
    <t>978-5-91768-863-3</t>
  </si>
  <si>
    <t>344900.05.01</t>
  </si>
  <si>
    <t>Европейский парламент: политико-прав.исслед.:Моногр./А.Ю.Саломатин-М.:ИЦ РИОР,НИЦ ИНФРА-М,2023-91с(О)</t>
  </si>
  <si>
    <t>ЕВРОПЕЙСКИЙ ПАРЛАМЕНТ: ПОЛИТИКО-ПРАВОВОЕ ИССЛЕДОВАНИЕ</t>
  </si>
  <si>
    <t>Саломатин А.Ю., Меликов А.В.</t>
  </si>
  <si>
    <t>978-5-369-01443-1</t>
  </si>
  <si>
    <t>41.03.04, 40.03.01, 41.03.05, 41.04.04, 40.04.01, 41.04.05, 38.03.04, 44.03.01, 44.03.05, 41.03.06</t>
  </si>
  <si>
    <t>094880.12.01</t>
  </si>
  <si>
    <t>Европейский Союз: Основополагающие акты в редакц... / С.Ю.Кашкин -2изд. -М.:НИЦ ИНФРА-М,2024-650с(П)</t>
  </si>
  <si>
    <t>ЕВРОПЕЙСКИЙ СОЮЗ: ОСНОВОПОЛАГАЮЩИЕ АКТЫ В РЕДАКЦИИ ЛИССАБОНСКОГО ДОГОВОРА С КОММЕНТАРИЯМИ, ИЗД.2</t>
  </si>
  <si>
    <t>Кашкин С.Ю., Четвериков А.О., Кашкин С.Ю.</t>
  </si>
  <si>
    <t>978-5-16-012161-1</t>
  </si>
  <si>
    <t>40.03.01, 41.03.05, 40.04.01, 41.04.05, 40.05.01</t>
  </si>
  <si>
    <t>689991.05.01</t>
  </si>
  <si>
    <t>Европейское право. Основы интеграц. права ЕС...: Уч./Л.М.Энтин-М.:Юр.Норма, НИЦ ИНФРА-М,2023-528с(П)</t>
  </si>
  <si>
    <t>ЕВРОПЕЙСКОЕ ПРАВО. ОСНОВЫ ИНТЕГРАЦИОННОГО ПРАВА ЕВРОПЕЙСКОГО СОЮЗА И ЕВРАЗИЙСКОГО ЭКОНОМИЧЕСКОГО СОЮЗА</t>
  </si>
  <si>
    <t>Энтин Л.М., Энтин М.Л.</t>
  </si>
  <si>
    <t>978-5-91768-956-2</t>
  </si>
  <si>
    <t>Московский государственный институт международных отношений (университет) Министерства иностранных дел Российской Федерации</t>
  </si>
  <si>
    <t>689992.07.01</t>
  </si>
  <si>
    <t>Европейское право. Отрасли права ЕС и ЕврАзЭС: Уч. / Л.М.Энтин-М.:Юр.Норма, НИЦ ИНФРА-М,2024-416с(П)</t>
  </si>
  <si>
    <t>ЕВРОПЕЙСКОЕ ПРАВО. ОТРАСЛИ ПРАВА ЕС И ЕВРАЗЭС</t>
  </si>
  <si>
    <t>978-5-91768-957-9</t>
  </si>
  <si>
    <t>679377.06.01</t>
  </si>
  <si>
    <t>Европейское право: Уч.пос. / И.С.Иксанов - М.:НИЦ ИНФРА-М,2024-182с-(ВО:Бакалавриат(Финунивер.)(П)</t>
  </si>
  <si>
    <t>ЕВРОПЕЙСКОЕ ПРАВО</t>
  </si>
  <si>
    <t>Иксанов И.С.</t>
  </si>
  <si>
    <t>Высшее образование: Бакалавриат (Финуниверситет)</t>
  </si>
  <si>
    <t>978-5-16-014648-5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</si>
  <si>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«Экономика»,44.03.01 «Юриспруденция», 41.03.05 «Международные отношения» (квалификация (степень) «бакалавр»)</t>
  </si>
  <si>
    <t>657368.03.01</t>
  </si>
  <si>
    <t>Единство преступ.: эволюц.угол.-прав. понятия: Моногр. /А.М.Ораздурдыев -М.:Юр.Норма,2022-320с(П)</t>
  </si>
  <si>
    <t>ЕДИНСТВО ПРЕСТУПЛЕНИЙ: ЭВОЛЮЦИЯ УГОЛОВНО-ПРАВОВОГО ПОНЯТИЯ</t>
  </si>
  <si>
    <t>Ораздурдыев А.М.</t>
  </si>
  <si>
    <t>978-5-91768-838-1</t>
  </si>
  <si>
    <t>324200.08.01</t>
  </si>
  <si>
    <t>Естественно-науч. методы судебно-эксперт. исслед.: Уч./Е.Р.Россинская - М:Норма:ИНФРА-М,2023-304с(П)</t>
  </si>
  <si>
    <t>ЕСТЕСТВЕННО-НАУЧНЫЕ МЕТОДЫ СУДЕБНО-ЭКСПЕРТНЫХ ИССЛЕДОВАНИЙ</t>
  </si>
  <si>
    <t>Россинская Е.Р., Россинская Е.Р.</t>
  </si>
  <si>
    <t>978-5-91768-573-1</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</si>
  <si>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40.05.03 "Судебная экспертиза»</t>
  </si>
  <si>
    <t>283200.09.01</t>
  </si>
  <si>
    <t>Жалоба в Европейский Суд по правам человека / С.А.Князькин - М.:Юр.Норма,НИЦ ИНФРА-М,2022 - 64 с.(О)</t>
  </si>
  <si>
    <t>ЖАЛОБА В ЕВРОПЕЙСКИЙ СУД ПО ПРАВАМ ЧЕЛОВЕКА: НОВЫЙ ФОРМУЛЯР И ОБРАЗЕЦ ЗАПОЛНЕНИЯ</t>
  </si>
  <si>
    <t>Князькин С. А.</t>
  </si>
  <si>
    <t>978-5-91768-492-5</t>
  </si>
  <si>
    <t>40.03.01, 40.04.01, 40.06.01, 44.03.05</t>
  </si>
  <si>
    <t>Центр международной защиты прав человека Михаила Трепашкина</t>
  </si>
  <si>
    <t>638287.0055.01</t>
  </si>
  <si>
    <t>Журнал зарубежного законодательства и сравнительного правоведения, 2023, № 4</t>
  </si>
  <si>
    <t>ЖУРНАЛ ЗАРУБЕЖНОГО ЗАКОНОДАТЕЛЬСТВА И СРАВНИТЕЛЬНОГО ПРАВОВЕДЕНИЯ, 2023, № 4</t>
  </si>
  <si>
    <t>640614.0253.01</t>
  </si>
  <si>
    <t>Журнал Российского права, 2016, №  12</t>
  </si>
  <si>
    <t>ЖУРНАЛ РОССИЙСКОГО ПРАВА, 2016, №  12</t>
  </si>
  <si>
    <t>640614.0348.01</t>
  </si>
  <si>
    <t>Журнал Российского права, 2023, № 9</t>
  </si>
  <si>
    <t>ЖУРНАЛ РОССИЙСКОГО ПРАВА, 2023, № 9</t>
  </si>
  <si>
    <t>053330.12.01</t>
  </si>
  <si>
    <t>Задачи уголовной политики...: Моногр. / Ф.Лист - М.: НИЦ ИНФРА-М, 2023.-110 с.(Б-ка криминолога)(О)</t>
  </si>
  <si>
    <t>ЗАДАЧИ УГОЛОВНОЙ ПОЛИТИКИ. ПРЕСТУПЛЕНИЕ КАК СОЦИАЛЬНО-ПАТОЛОГИЧЕСКОЕ ЯВЛЕНИЕ</t>
  </si>
  <si>
    <t>Лист Ф., Овчинский В. С.</t>
  </si>
  <si>
    <t>Библиотека криминолога</t>
  </si>
  <si>
    <t>978-5-16-016795-4</t>
  </si>
  <si>
    <t>682295.03.01</t>
  </si>
  <si>
    <t>Заключение  энергосервисных контрактов  в сфере закупок...:Моногр. / Е.Ю.Матвеева-М.:НИЦ ИНФРА-М,2023-158с(О)</t>
  </si>
  <si>
    <t>ЗАКЛЮЧЕНИЕ  ЭНЕРГОСЕРВИСНЫХ КОНТРАКТОВ  В СФЕРЕ ЗАКУПОК ДЛЯ ОБЕСПЕЧЕНИЯ ГОСУДАРСТВЕННЫХ И МУНИЦИПАЛЬНЫХ НУЖД</t>
  </si>
  <si>
    <t>Матвеева Е.Ю.</t>
  </si>
  <si>
    <t>978-5-16-014266-1</t>
  </si>
  <si>
    <t>640171.05.01</t>
  </si>
  <si>
    <t>Закон - ресурс промышленности: Моногр. / Отв. ред. Ю.А.Тихомиров - М.:НИЦ ИНФРА-М,2023 - 96 с.(ИЗиСП)(О)</t>
  </si>
  <si>
    <t>ЗАКОН - РЕСУРС ПРОМЫШЛЕННОСТИ</t>
  </si>
  <si>
    <t>Тихомиров Ю.А.</t>
  </si>
  <si>
    <t>978-5-16-012271-7</t>
  </si>
  <si>
    <t>40.03.01, 38.04.01, 38.03.01, 44.03.05</t>
  </si>
  <si>
    <t>642079.06.01</t>
  </si>
  <si>
    <t>Закон, поступок, ответственность: Монография / В.Н.Кудрявцев-М.:Юр.Норма, НИЦ ИНФРА-М,2022.-452с.(П)</t>
  </si>
  <si>
    <t>ЗАКОН, ПОСТУПОК, ОТВЕТСТВЕННОСТЬ</t>
  </si>
  <si>
    <t>978-5-91768-771-1</t>
  </si>
  <si>
    <t>638702.03.01</t>
  </si>
  <si>
    <t>Закон. Обеспечение безопасности и реальной эк. / Под ред. Хабриевой Т.Я.-М.:НИЦ ИНФРА-М,2020-48с.(О)</t>
  </si>
  <si>
    <t>ЗАКОН. ОБЕСПЕЧЕНИЕ БЕЗОПАСНОСТИ И РЕАЛЬНОЙ ЭКОНОМИКИ</t>
  </si>
  <si>
    <t>978-5-16-012735-4</t>
  </si>
  <si>
    <t>459800.06.01</t>
  </si>
  <si>
    <t>Законодатель как сторона в конституц.судопроизв.: Суд.речи / В.В.Лазарев - М.:НИЦ ИНФРА-М,2020-880с.(О)</t>
  </si>
  <si>
    <t>ЗАКОНОДАТЕЛЬ КАК СТОРОНА В КОНСТИТУЦИОННОМ СУДОПРОИЗВОДСТВЕ</t>
  </si>
  <si>
    <t>Лазарев В.В.</t>
  </si>
  <si>
    <t>978-5-16-011502-3</t>
  </si>
  <si>
    <t>Научное издание</t>
  </si>
  <si>
    <t>098400.09.01</t>
  </si>
  <si>
    <t>Законодательная власть: Моногр. / В.Е.Чиркин - М.:Юр.Норма, НИЦ ИНФРА-М,2022 - 336 с.(П)</t>
  </si>
  <si>
    <t>ЗАКОНОДАТЕЛЬНАЯ ВЛАСТЬ</t>
  </si>
  <si>
    <t>978-5-91768-693-6</t>
  </si>
  <si>
    <t>693942.05.01</t>
  </si>
  <si>
    <t>Законодательная техника: Уч.пос. / Д.А.Керимов - М.:Юр.Норма, НИЦ ИНФРА-М,2023 - 127 с.(П)</t>
  </si>
  <si>
    <t>ЗАКОНОДАТЕЛЬНАЯ ТЕХНИКА</t>
  </si>
  <si>
    <t>Керимов Д.А.</t>
  </si>
  <si>
    <t>978-5-91768-968-5</t>
  </si>
  <si>
    <t>Ленинградский государственный университет им. А.С. Пушкина</t>
  </si>
  <si>
    <t>717901.03.01</t>
  </si>
  <si>
    <t>Законодательное регулир. землеустройства и кадастровых...: Моногр. / С.А.Липски - М.:НИЦ ИНФРА-М,2023-216с(О)</t>
  </si>
  <si>
    <t>ЗАКОНОДАТЕЛЬНОЕ РЕГУЛИРОВАНИЕ ЗЕМЛЕУСТРОЙСТВА И КАДАСТРОВЫХ ОТНОШЕНИЙ В ПОСТСОВЕТСКОЙ РОССИИ</t>
  </si>
  <si>
    <t>Липски С.А.</t>
  </si>
  <si>
    <t>978-5-16-015647-7</t>
  </si>
  <si>
    <t>40.03.01, 40.04.01, 21.04.02, 21.03.02</t>
  </si>
  <si>
    <t>Государственный университет по землеустройству</t>
  </si>
  <si>
    <t>814146.01.01</t>
  </si>
  <si>
    <t>Законодательство в обустройстве росс. жизни.../В.В.Лазарев-М.:Юр. НОРМА, НИЦ ИНФРА-М,2024.-280 с.(п)</t>
  </si>
  <si>
    <t>ЗАКОНОДАТЕЛЬСТВО В ОБУСТРОЙСТВЕ РОССИЙСКОЙ ЖИЗНИ: ИСТОРИЯ И СОВРЕМЕННОСТЬ. К 250-ЛЕТИЮ СО ДНЯ РОЖДЕНИЯ М.М.СПЕРАНСКОГО</t>
  </si>
  <si>
    <t>Лазарев В.В., Хабриева Т.Я., Крашенинников П.В. и др.</t>
  </si>
  <si>
    <t>978-5-00156-334-1</t>
  </si>
  <si>
    <t>317300.06.01</t>
  </si>
  <si>
    <t>Законодательство о рыболовстве и сохран...: Научно-практ. пос. / С.А.Боголюбов - М.:ИНФРА-М: ИЗиСП,2022-263c.(О)</t>
  </si>
  <si>
    <t>ЗАКОНОДАТЕЛЬСТВО О РЫБОЛОВСТВЕ И СОХРАНЕНИИ ВОДНЫХ БИОЛОГИЧЕСКИХ РЕСУРСОВ В ВОПРОСАХ И ОТВЕТАХ</t>
  </si>
  <si>
    <t>Боголюбов С.А., Жариков Ю.Г., Минина Е.Л. и др.</t>
  </si>
  <si>
    <t>978-5-16-010391-4</t>
  </si>
  <si>
    <t>40.02.02, 40.03.01, 40.04.01</t>
  </si>
  <si>
    <t>631732.02.01</t>
  </si>
  <si>
    <t>Законодательство об ответ. за наруш. ПДД..: Науч.-практ.пос. / А.Ф.Ноздрачев - М.:НИЦ ИНФРА-М,2018-290с(О)</t>
  </si>
  <si>
    <t>ЗАКОНОДАТЕЛЬСТВО ОБ ОТВЕТСТВЕННОСТИ ЗА НАРУШЕНИЕ ПРАВИЛ ДОРОЖНОГО ДВИЖЕНИЯ В СОСТОЯНИИ АЛКОГОЛЬНОГО И НАРКОТИЧЕСКОГО ОПЬЯНЕНИЯ</t>
  </si>
  <si>
    <t>978-5-16-011936-6</t>
  </si>
  <si>
    <t>40.02.01, 40.02.02, 40.03.01, 40.05.02, 44.03.05</t>
  </si>
  <si>
    <t>642421.05.01</t>
  </si>
  <si>
    <t>Законы из-за границы: политико-прав. аспекты клас.: Моногр. / Б.В.Назмутдинов-М.:Юр.Норма, НИЦ ИНФРА-М,2023-272с.(П)</t>
  </si>
  <si>
    <t>ЗАКОНЫ ИЗ-ЗА ГРАНИЦЫ: ПОЛИТИКО-ПРАВОВЫЕ АСПЕКТЫ КЛАССИЧЕСКОГО ЕВРАЗИЙСТВА</t>
  </si>
  <si>
    <t>Назмутдинов Б.В.</t>
  </si>
  <si>
    <t>978-5-91768-776-6</t>
  </si>
  <si>
    <t>632474.05.01</t>
  </si>
  <si>
    <t>Закрытое завещание в России: проблемы практики: Моногр./ Е.А.Кириллова-М.:НИЦ ИНФРА-М,2023-122с.(Науч.мысль)(О)</t>
  </si>
  <si>
    <t>ЗАКРЫТОЕ ЗАВЕЩАНИЕ В РОССИИ: ПРОБЛЕМЫ ПРАКТИКИ</t>
  </si>
  <si>
    <t>978-5-16-013699-8</t>
  </si>
  <si>
    <t>804886.01.01</t>
  </si>
  <si>
    <t>Занятие высшего положения в преступной иерархии (статья 210.1 УК РФ)/ А.М.Багмет.-М.:НИЦ ИНФРА-М,2023.-205 с(о)</t>
  </si>
  <si>
    <t>ЗАНЯТИЕ ВЫСШЕГО ПОЛОЖЕНИЯ В ПРЕСТУПНОЙ ИЕРАРХИИ (СТАТЬЯ 210.1 УК РФ): КВАЛИФИКАЦИЯ И РАССЛЕДОВАНИЕ</t>
  </si>
  <si>
    <t>Багмет А.М., Бычков В.В., Харченко С.В. и др.</t>
  </si>
  <si>
    <t>978-5-16-018594-1</t>
  </si>
  <si>
    <t>Следственный Комитет Российской Федерации</t>
  </si>
  <si>
    <t>Май, 2023</t>
  </si>
  <si>
    <t>676188.03.01</t>
  </si>
  <si>
    <t>Запреты в праве и правовой политике: Моногр. / А.А.Малько-М.:ИЦ РИОР, НИЦ ИНФРА-М,2024.-377 с.(п)</t>
  </si>
  <si>
    <t>ЗАПРЕТЫ В ПРАВЕ И ПРАВОВОЙ ПОЛИТИКЕ: ОБЩЕТЕОРЕТИЧЕСКИЙ И ОТРАСЛЕВОЙ АСПЕКТЫ</t>
  </si>
  <si>
    <t>Малько А.В.</t>
  </si>
  <si>
    <t>Advances in Law Studies</t>
  </si>
  <si>
    <t>978-5-369-01751-7</t>
  </si>
  <si>
    <t>750134.02.01</t>
  </si>
  <si>
    <t>Зарождение и развитие межд. част. права (XII-XX вв.): Моногр. / А.И.Кривенький-М.:НИЦ ИНФРА-М,2022.-178с.(Науч.мысль)(О)</t>
  </si>
  <si>
    <t>ЗАРОЖДЕНИЕ И РАЗВИТИЕ МЕЖДУНАРОДНОГО ЧАСТНОГО ПРАВА (XII-XX ВВ.)</t>
  </si>
  <si>
    <t>Кривенький А.И.</t>
  </si>
  <si>
    <t>978-5-16-017001-5</t>
  </si>
  <si>
    <t>40.05.04, 40.03.01, 40.04.01, 40.05.01, 40.05.02, 40.06.01</t>
  </si>
  <si>
    <t>Московский городской педагогический университет</t>
  </si>
  <si>
    <t>713175.05.01</t>
  </si>
  <si>
    <t>Зарубежное экологическое право..: Уч.пос. / Л.И.Брославский - М.:НИЦ ИНФРА-М,2023 - 300 с.(П)</t>
  </si>
  <si>
    <t>ЗАРУБЕЖНОЕ ЭКОЛОГИЧЕСКОЕ ПРАВО: ПРИРОДООХРАННОЕ ЗАКОНОДАТЕЛЬСТВО США</t>
  </si>
  <si>
    <t>Брославский Л.И.</t>
  </si>
  <si>
    <t>978-5-16-015781-8</t>
  </si>
  <si>
    <t>40.05.04, 40.03.01, 20.03.02, 40.05.01, 40.05.02, 40.05.03</t>
  </si>
  <si>
    <t>445700.03.01</t>
  </si>
  <si>
    <t>Зарубежный и отечеств. опыт оценки квалиф. юристов: Моногр. /А.А.Свистунов -Юр.Норма, НИЦ ИНФРА-М, 2020-192с.(О)</t>
  </si>
  <si>
    <t>ЗАРУБЕЖНЫЙ И ОТЕЧЕСТВЕННЫЙ ОПЫТ ОЦЕНКИ КВАЛИФИКАЦИИ ЮРИСТОВ</t>
  </si>
  <si>
    <t>Свистунов А.А., Щепанский И.С., Куликова Т.Б.</t>
  </si>
  <si>
    <t>978-5-91768-666-0</t>
  </si>
  <si>
    <t>40.03.01, 40.04.01, 40.05.01, 40.05.02, 40.05.03, 44.03.05</t>
  </si>
  <si>
    <t>715619.02.01</t>
  </si>
  <si>
    <t>Зарубежный опыт правового регулир. адм. и судеб. процедур...: Моногр. / А.А.Соловьёв. — М. : ИНФРА-М, 2020-216с(О)</t>
  </si>
  <si>
    <t>ЗАРУБЕЖНЫЙ ОПЫТ ПРАВОВОГО РЕГУЛИРОВАНИЯ АДМИНИСТРАТИВНЫХ И СУДЕБНЫХ ПРОЦЕДУР, СВЯЗАННЫХ С ПРИНУДИТЕЛЬНЫМ МЕДИЦИНСКИМ ВМЕШАТЕЛЬСТВОМ</t>
  </si>
  <si>
    <t>Соловьёв А.А.</t>
  </si>
  <si>
    <t>978-5-16-015523-4</t>
  </si>
  <si>
    <t>670763.02.01</t>
  </si>
  <si>
    <t>Защита гос. суверенитета РФ в информ. простр.: Моногр. / А.А.Ефремов-М.:Юр.Норма,НИЦ ИНФРА-М,2020-128с(О)</t>
  </si>
  <si>
    <t>ЗАЩИТА ГОСУДАРСТВЕННОГО СУВЕРЕНИТЕТА РФ В ИНФОРМАЦИОННОМ ПРОСТРАНСТВЕ</t>
  </si>
  <si>
    <t>Ефремов А.А.</t>
  </si>
  <si>
    <t>978-5-91768-872-5</t>
  </si>
  <si>
    <t>653028.05.01</t>
  </si>
  <si>
    <t>Защита государственного суверенитета: Моногр. / В.В.Красинский - М.:Юр.Норма, НИЦ ИНФРА-М,2023-608с(П)</t>
  </si>
  <si>
    <t>ЗАЩИТА ГОСУДАРСТВЕННОГО СУВЕРЕНИТЕТА</t>
  </si>
  <si>
    <t>Красинский В.В.</t>
  </si>
  <si>
    <t>978-5-91768-821-3</t>
  </si>
  <si>
    <t>56.04.01, 40.03.01, 44.03.05</t>
  </si>
  <si>
    <t>Нижегородский государственный технический университет им. Р.А. Алексеева, ф-л Дзержинский политехнический институт</t>
  </si>
  <si>
    <t>654631.04.01</t>
  </si>
  <si>
    <t>Защита прав автомобилистов: Научно-практ. пос. / И.А.Шувалова - М.:НИЦ ИНФРА-М,2023 - 178 с.(Юр.конс.)(П)</t>
  </si>
  <si>
    <t>ЗАЩИТА ПРАВ АВТОМОБИЛИСТОВ</t>
  </si>
  <si>
    <t>Шувалова И.А.</t>
  </si>
  <si>
    <t>Юридическая консультация</t>
  </si>
  <si>
    <t>978-5-16-013081-1</t>
  </si>
  <si>
    <t>40.05.04, 40.02.02, 40.03.01, 40.04.01, 40.05.01, 40.05.02, 40.05.03, 40.02.03</t>
  </si>
  <si>
    <t>Академия труда и социальных отношений</t>
  </si>
  <si>
    <t>384600.04.01</t>
  </si>
  <si>
    <t>Защита прав и интересов организаций и граждан: Моног. /Л.А.Воскобитова -Юр.Норма, НИЦ ИНФРА-М,2023-144с</t>
  </si>
  <si>
    <t>ЗАЩИТА ПРАВ И ИНТЕРЕСОВ ОРГАНИЗАЦИЙ И ГРАЖДАН: УГОЛОВНО-ПРАВОВОЙ, УГОЛОВНО-ПРОЦЕССУАЛЬНЫЙ И КРИМИНОЛОГИЧЕСКИЙ АСПЕКТ (СОСТОЯНИЕ, ПРОБЛЕМЫ, ПУТИ СОВЕРШЕНСТВОВАНИЯ). ОБЩЕЕ СОСТОЯНИЕ И РЕГИОНАЛЬНАЯ СПЕЦИФИКА</t>
  </si>
  <si>
    <t>Воскобитова Л.А.</t>
  </si>
  <si>
    <t>978-5-91768-646-2</t>
  </si>
  <si>
    <t>664357.01.01</t>
  </si>
  <si>
    <t>Защита прав инвалидов: Уч.пос. / И.А.Шувалова - М.:НИЦ ИНФРА-М,2019 - 193 с.-(Юр. консультация)(П)</t>
  </si>
  <si>
    <t>ЗАЩИТА ПРАВ ИНВАЛИДОВ</t>
  </si>
  <si>
    <t>978-5-16-014688-1</t>
  </si>
  <si>
    <t>Дополнительное образование / Дополнительное образование взрослых</t>
  </si>
  <si>
    <t>40.04.01, 39.04.02, 39.06.01, 40.06.01</t>
  </si>
  <si>
    <t>664357.03.01</t>
  </si>
  <si>
    <t>Защита прав инвалидов: Уч.пос. / И.А.Шувалова, - 2 изд.-М.:НИЦ ИНФРА-М,2023.-193 с.(Юр. консультация)(П)</t>
  </si>
  <si>
    <t>ЗАЩИТА ПРАВ ИНВАЛИДОВ, ИЗД.2</t>
  </si>
  <si>
    <t>978-5-16-016262-1</t>
  </si>
  <si>
    <t>645380.03.01</t>
  </si>
  <si>
    <t>Защита прав потребителей: Пособие / И.А.Шувалова-М.:НИЦ ИНФРА-М,2021.-166 с..-(Юр. консультация)(О)</t>
  </si>
  <si>
    <t>ЗАЩИТА ПРАВ ПОТРЕБИТЕЛЕЙ</t>
  </si>
  <si>
    <t>978-5-16-014994-3</t>
  </si>
  <si>
    <t>Дополнительное образование</t>
  </si>
  <si>
    <t>40.02.01, 40.03.01, 44.03.05</t>
  </si>
  <si>
    <t>645380.07.01</t>
  </si>
  <si>
    <t>Защита прав потребителей: Уч.пос. / И.А.Шувалова - 2 изд. - М.:НИЦ ИНФРА-М,2024 - 181 с.(П)</t>
  </si>
  <si>
    <t>ЗАЩИТА ПРАВ ПОТРЕБИТЕЛЕЙ, ИЗД.2</t>
  </si>
  <si>
    <t>978-5-16-016995-8</t>
  </si>
  <si>
    <t>682534.02.01</t>
  </si>
  <si>
    <t>Защита прав родителей: Науч.-прак. пос. / И.А.Шувалова-М.:НИЦ ИНФРА-М,2022.-219 с.(П)</t>
  </si>
  <si>
    <t>ЗАЩИТА ПРАВ РОДИТЕЛЕЙ</t>
  </si>
  <si>
    <t>978-5-16-016744-2</t>
  </si>
  <si>
    <t>40.02.01, 40.02.02, 40.03.01, 44.03.05</t>
  </si>
  <si>
    <t>165850.07.01</t>
  </si>
  <si>
    <t>Защита права собственности в Европейском Суде..: Моногр. / А.А.Максуров-М.:НИЦ ИНФРА-М,2022-275с.(о)</t>
  </si>
  <si>
    <t>ЗАЩИТА ПРАВА СОБСТВЕННОСТИ В ЕВРОПЕЙСКОМ СУДЕ ПО ПРАВАМ ЧЕЛОВЕКА</t>
  </si>
  <si>
    <t>Максуров А.А.</t>
  </si>
  <si>
    <t>978-5-16-005146-8</t>
  </si>
  <si>
    <t>Ярославский государственный университет им. П.Г. Демидова</t>
  </si>
  <si>
    <t>430750.08.01</t>
  </si>
  <si>
    <t>Защита социал.прав граждан:теор.и практ.: Моногр./О.А.Снежко-М.:НИЦ ИНФРА-М,2020-274с(Науч.мысль)(о)</t>
  </si>
  <si>
    <t>ЗАЩИТА СОЦИАЛЬНЫХ ПРАВ ГРАЖДАН: ТЕОРИЯ И ПРАКТИКА</t>
  </si>
  <si>
    <t>Снежко О.А.</t>
  </si>
  <si>
    <t>978-5-16-006655-4</t>
  </si>
  <si>
    <t>Московский государственный университет им. М.В. Ломоносова</t>
  </si>
  <si>
    <t>320300.06.01</t>
  </si>
  <si>
    <t>Земельное и имущественное право в странах общ.права: Моногр./О.И.Крассов-М.:Норма:ИНФРА-М,2022-416с.(п)</t>
  </si>
  <si>
    <t>ЗЕМЕЛЬНОЕ И ИМУЩЕСТВЕННОЕ ПРАВО В СТРАНАХ ОБЩЕГО ПРАВА</t>
  </si>
  <si>
    <t>Крассов О.И.</t>
  </si>
  <si>
    <t>978-5-91768-556-4</t>
  </si>
  <si>
    <t>682765.03.01</t>
  </si>
  <si>
    <t>Земельное право в странах Азии: Монография / О.И.Крассов - М.:Юр.Норма, НИЦ ИНФРА-М,2022 - 416 с.(П)</t>
  </si>
  <si>
    <t>ЗЕМЕЛЬНОЕ ПРАВО В СТРАНАХ АЗИИ</t>
  </si>
  <si>
    <t>978-5-91768-918-0</t>
  </si>
  <si>
    <t>633320.07.01</t>
  </si>
  <si>
    <t>Земельное право в странах Африки: Моногр. / О.И.Крассов-М.:Юр. НОРМА, НИЦ ИНФРА-М,2023.-416 с.(п)</t>
  </si>
  <si>
    <t>ЗЕМЕЛЬНОЕ ПРАВО В СТРАНАХ АФРИКИ</t>
  </si>
  <si>
    <t>978-5-91768-743-8</t>
  </si>
  <si>
    <t>40.00.00, 40.06.01</t>
  </si>
  <si>
    <t>654633.08.01</t>
  </si>
  <si>
    <t>Земельное право в странах Ближнего Востока: Моногр. / О.И.Крассов-М.:Норма, НИЦ ИНФРА-М,2023-384с(П)</t>
  </si>
  <si>
    <t>ЗЕМЕЛЬНОЕ ПРАВО В СТРАНАХ БЛИЖНЕГО ВОСТОКА</t>
  </si>
  <si>
    <t>978-5-91768-825-1</t>
  </si>
  <si>
    <t>104500.11.01</t>
  </si>
  <si>
    <t>Земельное право: Уч. / Е.С.Болтанова - 3 изд. - М.:ИЦ РИОР, НИЦ ИНФРА-М,2021 - 387 с.(П)</t>
  </si>
  <si>
    <t>ЗЕМЕЛЬНОЕ ПРАВО, ИЗД.3</t>
  </si>
  <si>
    <t>Болтанова Е.С.</t>
  </si>
  <si>
    <t>978-5-369-01781-4</t>
  </si>
  <si>
    <t>40.05.04, 40.02.01, 40.02.02, 40.03.01, 06.03.02, 20.03.02, 40.04.01, 40.05.01, 40.05.02, 40.05.03, 40.02.03</t>
  </si>
  <si>
    <t>104500.13.01</t>
  </si>
  <si>
    <t>Земельное право: Уч. / Е.С.Болтанова, - 4 изд.-М.:ИЦ РИОР, НИЦ ИНФРА-М,2023.-388 с.(П)</t>
  </si>
  <si>
    <t>ЗЕМЕЛЬНОЕ ПРАВО, ИЗД.4</t>
  </si>
  <si>
    <t>978-5-369-01908-5</t>
  </si>
  <si>
    <t>0422</t>
  </si>
  <si>
    <t>104500.08.01</t>
  </si>
  <si>
    <t>Земельное право: Уч. / Е.С.Болтанова-М.:ИЦ РИОР, НИЦ ИНФРА-М,2015.-443 с.-(ВО:Бакалавриат)</t>
  </si>
  <si>
    <t>ЗЕМЕЛЬНОЕ ПРАВО, ИЗД.2</t>
  </si>
  <si>
    <t>Болтанова Е. С.</t>
  </si>
  <si>
    <t>Переплет</t>
  </si>
  <si>
    <t>978-5-369-01202-4</t>
  </si>
  <si>
    <t>Рекомендовано Московской государственной юридической Академии в качестве учебника для использования в учеб. процессе образ. учрежд., реализ. образоват. программы ВПО (доп. проф. обр.) по напр. Юриспруденция и спец. Юриспруденция и Правоохран. деят.</t>
  </si>
  <si>
    <t>029983.22.01</t>
  </si>
  <si>
    <t>Земельное право: Уч. / О.И.Крассов - 5 изд. - М.:Юр.Норма, НИЦ ИНФРА-М,2023 - 560 с.(П)</t>
  </si>
  <si>
    <t>ЗЕМЕЛЬНОЕ ПРАВО, ИЗД.5</t>
  </si>
  <si>
    <t>Для юридических вузов и факультетов</t>
  </si>
  <si>
    <t>978-5-91768-631-8</t>
  </si>
  <si>
    <t>40.05.04, 21.02.05, 40.02.01, 40.02.02, 40.03.01, 06.03.02, 40.04.01, 40.05.01, 40.05.02, 40.05.03, 40.02.03</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</si>
  <si>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t>
  </si>
  <si>
    <t>358800.06.01</t>
  </si>
  <si>
    <t>Земельное правоотношение как соц.-прав. явление: Моногр./ Е.А.Галиновская-М.:НИЦ ИНФРА-М,2024.-272 с.(П)</t>
  </si>
  <si>
    <t>ЗЕМЕЛЬНОЕ ПРАВООТНОШЕНИЕ КАК СОЦИАЛЬНО-ПРАВОВОЕ ЯВЛЕНИЕ</t>
  </si>
  <si>
    <t>Галиновская Е.А.</t>
  </si>
  <si>
    <t>978-5-16-010948-0</t>
  </si>
  <si>
    <t>40.03.01, 06.03.02</t>
  </si>
  <si>
    <t>768638.03.01</t>
  </si>
  <si>
    <t>Земельные правоотношения: Уч.пос. / С.А.Липски-М.:НИЦ ИНФРА-М,2024.-194 с.(СПО)(П)</t>
  </si>
  <si>
    <t>ЗЕМЕЛЬНЫЕ ПРАВООТНОШЕНИЯ</t>
  </si>
  <si>
    <t>978-5-16-017337-5</t>
  </si>
  <si>
    <t>21.02.04, 21.03.02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</si>
  <si>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1 от 12.01.2022)</t>
  </si>
  <si>
    <t>211600.03.01</t>
  </si>
  <si>
    <t>Зиновий Отенский о власти, праве и правосудии: Моногр./Н.М.Золотухина - Норма: ИНФРА-М, 2017-256с(о)</t>
  </si>
  <si>
    <t>ЗИНОВИЙ ОТЕНСКИЙ О ВЛАСТИ, ПРАВЕ И ПРАВОСУДИИ</t>
  </si>
  <si>
    <t>Золотухина Н. М.</t>
  </si>
  <si>
    <t>978-5-91768-390-4</t>
  </si>
  <si>
    <t>803178.01.01</t>
  </si>
  <si>
    <t>Злостный наруш. режима отбыван.наказан.в виде.../ А.Н.Гордополов-М.:НИЦ ИНФРА-М,2023.-225 с.(п)</t>
  </si>
  <si>
    <t>ЗЛОСТНЫЙ НАРУШИТЕЛЬ РЕЖИМА ОТБЫВАНИЯ НАКАЗАНИЯ В ВИДЕ ЛИШЕНИЯ СВОБОДЫ И ЕГО ОТВЕТСТВЕННОСТЬ В УГОЛОВНО-ИСПОЛНИТЕЛЬНОМ ЗАКОНОДАТЕЛЬСТВЕ</t>
  </si>
  <si>
    <t>Гордополов А.Н., Головастова Ю.А.</t>
  </si>
  <si>
    <t>978-5-16-018536-1</t>
  </si>
  <si>
    <t>126670.07.01</t>
  </si>
  <si>
    <t>Злоупотребление правом: Уч.пос. / В.И.Крусс-М.:Юр. НОРМА, НИЦ ИНФРА-М,2024.-176 с.(о)</t>
  </si>
  <si>
    <t>ЗЛОУПОТРЕБЛЕНИЕ ПРАВОМ</t>
  </si>
  <si>
    <t>Крусс В.И.</t>
  </si>
  <si>
    <t>978-5-91768-643-1</t>
  </si>
  <si>
    <t>40.05.04, 40.02.01, 40.02.02, 40.03.01, 40.04.01, 40.05.01, 40.05.02, 40.05.03, 44.03.05, 41.03.01, 41.03.06</t>
  </si>
  <si>
    <t>Рекомендовано УМО по юридическому образованию в качестве учебного пособия для студентов вузов, обучающихся по направлению "Юриспруденция" и специальности Юриспруденция"</t>
  </si>
  <si>
    <t>Тверской государственный университет</t>
  </si>
  <si>
    <t>647248.05.01</t>
  </si>
  <si>
    <t>Значение Совета Европы для разв. права и ... / Под ред. Тарасовой А.Е. - М.:ИНФРА-М,2023 - 297 с.(П)</t>
  </si>
  <si>
    <t>ЗНАЧЕНИЕ СОВЕТА ЕВРОПЫ ДЛЯ РАЗВИТИЯ ПРАВА И ЮРИДИЧЕСКОЙ ПРАКТИКИ ГОСУДАРСТВ-ЧЛЕНОВ В СФЕРЕ ЧАСТНЫХ И ПУБЛИЧНЫХ ИНСТИТУТОВ НА ПРИМЕРЕ РОССИЙСКОЙ ФЕДЕРАЦИИ. ПРЕИМУЩЕСТВА И ПРОТИВОРЕЧИЯ МЕХАНИЗМА ПРАВОВОГО ВЗАИМОДЕЙСТВИЯ СОВЕТА ЕВРОПЫ И ГОСУДАРСТВ-ЧЛЕНОВ: СБОРНИК СТАТЕЙ ПО ИТОГАМ МЕЖДУНАРОДНОЙ КОНФЕРЕН</t>
  </si>
  <si>
    <t>Тарасова А.Е., Исполинов А.С., Шапсугов Д.Ю. и др.</t>
  </si>
  <si>
    <t>978-5-16-018689-4</t>
  </si>
  <si>
    <t>733605.04.01</t>
  </si>
  <si>
    <t>Зоны с особыми усл. использ. территорий...: Научно-практ. пос. / Е.А.Галиновская - М.:НИЦ ИНФРА-М,2023-304с.(П)</t>
  </si>
  <si>
    <t>ЗОНЫ С ОСОБЫМИ УСЛОВИЯМИ ИСПОЛЬЗОВАНИЯ ТЕРРИТОРИЙ  (ПРОБЛЕМЫ УСТАНОВЛЕНИЯ И СОБЛЮДЕНИЯ ПРАВОВОГО РЕЖИМА)</t>
  </si>
  <si>
    <t>Галиновская Е.А., Болтанова Е.С., Волков Г.А. и др.</t>
  </si>
  <si>
    <t>978-5-16-016078-8</t>
  </si>
  <si>
    <t>305400.08.01</t>
  </si>
  <si>
    <t>Игропрактикум: опыт препод. основ права: Метод.пос. /В.Б.Исаков -М.:Юр.Норма, НИЦ ИНФРА-М, 2023-304с.(п)</t>
  </si>
  <si>
    <t>ИГРОПРАКТИКУМ: ОПЫТ ПРЕПОДАВАНИЯ ОСНОВ ПРАВА</t>
  </si>
  <si>
    <t>Исаков В.Б.</t>
  </si>
  <si>
    <t>978-5-91768-545-8</t>
  </si>
  <si>
    <t>Методическое пособие</t>
  </si>
  <si>
    <t>246500.08.01</t>
  </si>
  <si>
    <t>Из классических учений о политике и праве XX в..: Моногр. /С.А.Дробышевский -М.:Норма:ИНФРА-М, 2023 -112с(о)</t>
  </si>
  <si>
    <t>ИЗ КЛАССИЧЕСКИХ УЧЕНИЙ О ПОЛИТИКЕ И ПРАВЕ XX ВЕКА: АКТУАЛЬНЫЕ ИДЕИ Г. ЕЛЛИНЕКА И Д. ИСТОНА</t>
  </si>
  <si>
    <t>Дробышевский С. А.</t>
  </si>
  <si>
    <t>978-5-91768-436-9</t>
  </si>
  <si>
    <t>685751.05.01</t>
  </si>
  <si>
    <t>Избирательная сис. как фактор становления и развития...: Моногр. / Р.А.Алексеев - М.:ИНФРА-М,2023-211с.(П)</t>
  </si>
  <si>
    <t>ИЗБИРАТЕЛЬНАЯ СИСТЕМА КАК ФАКТОР СТАНОВЛЕНИЯ И РАЗВИТИЯ РОССИЙСКОЙ ДЕМОКРАТИИ (СРАВНИТЕЛЬНОЕ ПОЛИТИКО-ПРАВОВОЕ ИССЛЕДОВАНИЕ)</t>
  </si>
  <si>
    <t>Алексеев Р.А.</t>
  </si>
  <si>
    <t>978-5-16-014240-1</t>
  </si>
  <si>
    <t>40.03.01, 40.04.01, 40.05.02, 38.03.04, 44.03.05</t>
  </si>
  <si>
    <t>453300.03.01</t>
  </si>
  <si>
    <t>Избирательное право и избир.процесс в РФ: Курс лекций /А.Г.Головин -Юр.Норма, НИЦ ИНФРА-М, 2016-256с</t>
  </si>
  <si>
    <t>ИЗБИРАТЕЛЬНОЕ ПРАВО И ИЗБИРАТЕЛЬНЫЙ ПРОЦЕСС В РФ</t>
  </si>
  <si>
    <t>ГоловинА.Г.</t>
  </si>
  <si>
    <t>978-5-91768-673-8</t>
  </si>
  <si>
    <t>40.02.01, 40.02.02, 40.03.01, 38.03.04, 44.03.05</t>
  </si>
  <si>
    <t>671375.04.01</t>
  </si>
  <si>
    <t>Избирательные системы зарубеж. стран: Уч. / Ю.Г.Федотова, - 3 изд.-М.:НИЦ ИНФРА-М,2023.-263 с.(ВО (РЭУ))(п)</t>
  </si>
  <si>
    <t>ИЗБИРАТЕЛЬНЫЕ СИСТЕМЫ ЗАРУБЕЖНЫХ СТРАН, ИЗД.3</t>
  </si>
  <si>
    <t>Высшее образование (РЭУ)</t>
  </si>
  <si>
    <t>978-5-16-018381-7</t>
  </si>
  <si>
    <t>40.05.04, 40.03.01, 40.05.01, 40.05.02, 40.05.03, 38.03.04</t>
  </si>
  <si>
    <t>Рекомендовано в качестве учебника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</si>
  <si>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0323</t>
  </si>
  <si>
    <t>671375.03.01</t>
  </si>
  <si>
    <t>Избирательные системы зарубежных стран: Уч.пос./Ю.Г.Федотова, - 2 изд.-М.:НИЦ ИНФРА-М,2022-239с(ВО)</t>
  </si>
  <si>
    <t>ИЗБИРАТЕЛЬНЫЕ СИСТЕМЫ ЗАРУБЕЖНЫХ СТРАН, ИЗД.2</t>
  </si>
  <si>
    <t>978-5-16-013600-4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</si>
  <si>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</si>
  <si>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445400.03.01</t>
  </si>
  <si>
    <t>Избранное / Н.А.Власенко - М.:Юр.Норма, НИЦ ИНФРА-М,2019. - 688 с.(П)</t>
  </si>
  <si>
    <t>ИЗБРАННОЕ</t>
  </si>
  <si>
    <t>Н.А.Власенко</t>
  </si>
  <si>
    <t>978-5-91768-664-6</t>
  </si>
  <si>
    <t>746320.02.01</t>
  </si>
  <si>
    <t>Избранное последнего десятилетия: Монография / Лазарев В.В.-М.:Юр.Норма,2020.-760 с.(П)</t>
  </si>
  <si>
    <t>ИЗБРАННОЕ ПОСЛЕДНЕГО ДЕСЯТИЛЕТИЯ</t>
  </si>
  <si>
    <t>978-5-00156-111-8</t>
  </si>
  <si>
    <t>726667.01.01</t>
  </si>
  <si>
    <t>Избранное: монография / Е.Р.Россинская-М.:Юр.Норма,2019.-712 с.(П)</t>
  </si>
  <si>
    <t>Россинская Е.Р.</t>
  </si>
  <si>
    <t>Переплет 7 + 1 тиснение</t>
  </si>
  <si>
    <t>978-5-00156-041-8</t>
  </si>
  <si>
    <t>765374.03.01</t>
  </si>
  <si>
    <t>Избранное: Сб. научных трудов / Г.Ф.Ручкина-М.:НИЦ ИНФРА-М,2023.-491 с.(Науч.мысль - Фин. университет)(П)</t>
  </si>
  <si>
    <t>Ручкина Г.Ф.</t>
  </si>
  <si>
    <t>978-5-16-017222-4</t>
  </si>
  <si>
    <t>088000.08.01</t>
  </si>
  <si>
    <t>Избранные труды / Р.С.Белкин-М.:НОРМА,2020.-768 с.(П)</t>
  </si>
  <si>
    <t>ИЗБРАННЫЕ ТРУДЫ</t>
  </si>
  <si>
    <t>Белкин Р. С.</t>
  </si>
  <si>
    <t>978-5-468-00146-2</t>
  </si>
  <si>
    <t>645471.05.01</t>
  </si>
  <si>
    <t>Избранные труды: Монография / П.А.Лупинская - М.:Юр.Норма,НИЦ ИНФРА-М,2024 - 608 с.(П)</t>
  </si>
  <si>
    <t>Лупинская П.А.</t>
  </si>
  <si>
    <t>978-5-91768-783-4</t>
  </si>
  <si>
    <t>742030.01.01</t>
  </si>
  <si>
    <t>Избранные труды: Сборник научных трудов / В.В.Невинский-М.:Юр.Норма,2021.-600 с.(П)</t>
  </si>
  <si>
    <t>Невинский В.В.</t>
  </si>
  <si>
    <t>978-5-00156-094-4</t>
  </si>
  <si>
    <t>699268.04.01</t>
  </si>
  <si>
    <t>Имплементация решений Европейского Суда по .. / Т.Я.Хабриева - М.:Юр.Норма, НИЦ ИНФРА-М,2022 - 416с(П)</t>
  </si>
  <si>
    <t>ИМПЛЕМЕНТАЦИЯ РЕШЕНИЙ ЕВРОПЕЙСКОГО СУДА ПО ПРАВАМ ЧЕЛОВЕКА В РОССИЙСКОЙ СИСТЕМЕ: КОНЦЕПЦИИ, ПРАВОВЫЕ ПОДХОДЫ И ПРАКТИКА ОБЕСПЕЧЕНИЯ</t>
  </si>
  <si>
    <t>Хабриева Т.Я., Капустин А.Я.</t>
  </si>
  <si>
    <t>978-5-91768-988-3</t>
  </si>
  <si>
    <t>670494.04.01</t>
  </si>
  <si>
    <t>Инновационные характерист.субъектов рынка труда..: Моногр. / А.А.Рабцевич - М.:НИЦ ИНФРА-М,2022-152с(П)</t>
  </si>
  <si>
    <t>ИННОВАЦИОННЫЕ ХАРАКТЕРИСТИКИ СУБЪЕКТОВ РЫНКА ТРУДА: АНАЛИЗ И ОСНОВНЫЕ НАПРАВЛЕНИЯ ФОРМИРОВАНИЯ</t>
  </si>
  <si>
    <t>Рабцевич А.А.</t>
  </si>
  <si>
    <t>978-5-16-013483-3</t>
  </si>
  <si>
    <t>38.03.01, 38.03.03, 41.03.06</t>
  </si>
  <si>
    <t>750023.02.01</t>
  </si>
  <si>
    <t>Институт административной отв. несовершеннолетних в Рос.: Моногр. / Е.А.Кириллова-М.:НИЦ ИНФРА-М,2023.-183 с.(О)</t>
  </si>
  <si>
    <t>ИНСТИТУТ АДМИНИСТРАТИВНОЙ ОТВЕТСТВЕННОСТИ НЕСОВЕРШЕННОЛЕТНИХ В РОССИИ</t>
  </si>
  <si>
    <t>978-5-16-016924-8</t>
  </si>
  <si>
    <t>40.05.04, 40.02.01, 40.02.02, 40.03.01, 40.04.01, 39.04.02, 40.05.02, 40.06.01, 44.03.05, 39.03.02</t>
  </si>
  <si>
    <t>472800.04.01</t>
  </si>
  <si>
    <t>Институт гос. и муниц.услуг в совр.праве РФ: Моногр./В.И.Фадеев-М.:Юр.Норма,НИЦ ИНФРА-М,2023-208с(о)</t>
  </si>
  <si>
    <t>ИНСТИТУТ ГОСУДАРСТВЕННЫХ И МУНИЦИПАЛЬНЫХ УСЛУГ В СОВРЕМЕННОМ ПРАВЕ РФ</t>
  </si>
  <si>
    <t>Фадеев В.И.</t>
  </si>
  <si>
    <t>978-5-91768-698-1</t>
  </si>
  <si>
    <t>Белгородский университет кооперации, экономики и права, Курский институт кооперации ф-л</t>
  </si>
  <si>
    <t>701894.02.01</t>
  </si>
  <si>
    <t>Институт юридич. ответств.: Моногр. / Под ред. Липинского Д.А.-М.:ИЦ РИОР, НИЦ ИНФРА-М,2022.-230 с.(Науч.мысль)(О)</t>
  </si>
  <si>
    <t>ИНСТИТУТ ЮРИДИЧЕСКОЙ ОТВЕТСТВЕННОСТИ</t>
  </si>
  <si>
    <t>Липинский Д.А., Савельев Ю.М., Чуклова Е.В. и др.</t>
  </si>
  <si>
    <t>978-5-369-01801-9</t>
  </si>
  <si>
    <t>720342.05.01</t>
  </si>
  <si>
    <t>Институты публ. власти в усл. глобализации: Моногр. / Т.А.Васильева-М.:Юр.Норма, НИЦ ИНФРА-М,2022.-272 с.(П)</t>
  </si>
  <si>
    <t>ИНСТИТУТЫ ПУБЛИЧНОЙ ВЛАСТИ В УСЛОВИЯХ ГЛОБАЛИЗАЦИИ</t>
  </si>
  <si>
    <t>Васильева Т.А., Некрасов С.И., Курюкин А.Н. и др.</t>
  </si>
  <si>
    <t>978-5-00156-026-5</t>
  </si>
  <si>
    <t>40.03.01, 40.05.01, 40.05.02, 40.05.03, 38.03.04</t>
  </si>
  <si>
    <t>681271.07.01</t>
  </si>
  <si>
    <t>Институты финансовой безопасности: Монография / И.И.Кучеров - М.:НИЦ ИНФРА-М, 2022-246с (ИЗиСП)(П)</t>
  </si>
  <si>
    <t>ИНСТИТУТЫ ФИНАНСОВОЙ БЕЗОПАСНОСТИ</t>
  </si>
  <si>
    <t>Кучеров И.И., Поветкина Н.А., Акопян О.А. и др.</t>
  </si>
  <si>
    <t>978-5-16-013740-7</t>
  </si>
  <si>
    <t>40.03.01, 40.04.01, 38.04.01, 38.04.08, 40.05.01, 38.05.01, 38.03.01</t>
  </si>
  <si>
    <t>715119.02.01</t>
  </si>
  <si>
    <t>Институционально-правовые преобразования...: Моногр./ Г.Ф. Ручкиной, М. : ИНФРА-М, 2023 —265 с.(О)</t>
  </si>
  <si>
    <t>ИНСТИТУЦИОНАЛЬНО-ПРАВОВЫЕ ПРЕОБРАЗОВАНИЯ, НАПРАВЛЕННЫЕ НА ПОВЫШЕНИЕ ЭКСПОРТНОЙ КОНКУРЕНТОСПОСОБНОСТИ РОССИЙСКИХ ТОВАРОВ И ПРЕОДОЛЕНИЕ СДЕРЖИВАЮЩИХ ОГРАНИЧЕНИЙ</t>
  </si>
  <si>
    <t>Ручкина Г.Ф., Демченко М.В., Дахненко С.С. и др.</t>
  </si>
  <si>
    <t>978-5-16-015520-3</t>
  </si>
  <si>
    <t>40.04.01, 38.04.01, 38.06.01, 40.06.01</t>
  </si>
  <si>
    <t>665903.02.01</t>
  </si>
  <si>
    <t>Инструменты управления реал. муницип.функций...:Моногр./ А.И.Абдряшитова-М.:НИЦ ИНФРА-М,2020-251с(П)</t>
  </si>
  <si>
    <t>ИНСТРУМЕНТЫ УПРАВЛЕНИЯ РЕАЛИЗАЦИЕЙ МУНИЦИПАЛЬНЫХ ФУНКЦИЙ В ЭЛЕКТРОННОМ ВИДЕ</t>
  </si>
  <si>
    <t>Абдряшитова А.И., Грачева Е.В., Казаков М.Ю. и др.</t>
  </si>
  <si>
    <t>978-5-16-013276-1</t>
  </si>
  <si>
    <t>40.03.01, 38.04.04, 38.03.04, 44.03.05</t>
  </si>
  <si>
    <t>Российская академия народного хозяйства и государственной службы при Президенте РФ, Владимирский ф-л</t>
  </si>
  <si>
    <t>465850.06.01</t>
  </si>
  <si>
    <t>Интеграционное правосудие в совр. мире: Уч.пос. / С.Ю.Кашкин-М.:Юр.Норма, НИЦ ИНФРА-М,2020.-112 с.(О)</t>
  </si>
  <si>
    <t>ИНТЕГРАЦИОННОЕ ПРАВОСУДИЕ В СОВРЕМЕННОМ МИРЕ: ОСНОВНЫЕ МОДЕЛИ</t>
  </si>
  <si>
    <t>Кашкин С. Ю., Четвериков А. О.</t>
  </si>
  <si>
    <t>978-5-91768-486-4</t>
  </si>
  <si>
    <t>40.05.04, 40.03.01, 40.04.01, 40.05.01, 40.05.02, 40.05.03, 44.03.05</t>
  </si>
  <si>
    <t>288800.05.01</t>
  </si>
  <si>
    <t>Интеграционное правосудие: сущность и перспект.: Моногр. /С.Ю.Кашкин -М:Норма: ИНФРА-М,2019-112с.(О)</t>
  </si>
  <si>
    <t>ИНТЕГРАЦИОННОЕ ПРАВОСУДИЕ: СУЩНОСТЬ И ПЕРСПЕКТИВЫ</t>
  </si>
  <si>
    <t>Кашкин С.Ю., Калиниченко П.А., Кожеуров Я.С. и др.</t>
  </si>
  <si>
    <t>978-5-91768-516-8</t>
  </si>
  <si>
    <t>741791.04.01</t>
  </si>
  <si>
    <t>Интеграционный конституционализм: Монография / С.Н.Бабурин - М.:Юр.Норма, НИЦ ИНФРА-М,2023 - 264 с.(П)</t>
  </si>
  <si>
    <t>ИНТЕГРАЦИОННЫЙ КОНСТИТУЦИОНАЛИЗМ</t>
  </si>
  <si>
    <t>Бабурин С.Н.</t>
  </si>
  <si>
    <t>978-5-00156-092-0</t>
  </si>
  <si>
    <t>40.03.01, 40.05.01, 40.05.02, 40.05.03, 40.06.01</t>
  </si>
  <si>
    <t>742795.04.01</t>
  </si>
  <si>
    <t>Интеллектуальная собств. в совр. экономике...: Моногр./ В.И.Мухопад-М.:Магистр, НИЦ ИНФРА-М,2024-624 с.(П)</t>
  </si>
  <si>
    <t>ИНТЕЛЛЕКТУАЛЬНАЯ СОБСТВЕННОСТЬ В СОВРЕМЕННОЙ ЭКОНОМИКЕ: СИСТЕМА И ЕЕ СИНЕРГЕТИКА</t>
  </si>
  <si>
    <t>Мухопад В.И.</t>
  </si>
  <si>
    <t>Магистр</t>
  </si>
  <si>
    <t>978-5-9776-0520-5</t>
  </si>
  <si>
    <t>27.04.07, 40.04.01, 38.04.01, 38.06.01, 40.06.01, 38.03.01</t>
  </si>
  <si>
    <t>773687.01.01</t>
  </si>
  <si>
    <t>Интерпол в сис. международного сотрудничества по...: Моногр. / Ю.В.Пузырева-М.:НИЦ ИНФРА-М,2022.-207 с.(О)</t>
  </si>
  <si>
    <t>ИНТЕРПОЛ В СИСТЕМЕ МЕЖДУНАРОДНОГО СОТРУДНИЧЕСТВА ПО ПРОТИВОДЕЙСТВИЮ ТРАНСНАЦИОНАЛЬНОЙ ОРГАНИЗОВАННОЙ ПРЕСТУПНОСТИ</t>
  </si>
  <si>
    <t>Пузырева Ю.В.</t>
  </si>
  <si>
    <t>978-5-16-017490-7</t>
  </si>
  <si>
    <t>40.04.01, 40.05.01</t>
  </si>
  <si>
    <t>756456.02.01</t>
  </si>
  <si>
    <t>Исключительное право в гражд. обороте: Уч.пос. / Е.А.Моргунова - М.:Юр.Норма, НИЦ ИНФРА-М,2023 - 496 с.(П)</t>
  </si>
  <si>
    <t>ИСКЛЮЧИТЕЛЬНОЕ ПРАВО В ГРАЖДАНСКОМ ОБОРОТЕ</t>
  </si>
  <si>
    <t>Моргунова Е.А., Фролова Н.М.</t>
  </si>
  <si>
    <t>978-5-00156-170-5</t>
  </si>
  <si>
    <t>724876.04.01</t>
  </si>
  <si>
    <t>Искусственный разум, правовая сис. и функции гос.: Моногр. / А.Г.Братко-М.:НИЦ ИНФРА-М,2023-282 с.(О)</t>
  </si>
  <si>
    <t>ИСКУССТВЕННЫЙ РАЗУМ, ПРАВОВАЯ СИСТЕМА И ФУНКЦИИ ГОСУДАРСТВА</t>
  </si>
  <si>
    <t>Братко А.Г.</t>
  </si>
  <si>
    <t>978-5-16-015890-7</t>
  </si>
  <si>
    <t>Национальный исследовательский ядерный университет "МИФИ"</t>
  </si>
  <si>
    <t>378000.02.01</t>
  </si>
  <si>
    <t>Исполнение не связанных с изоляцией от общества...:Уч.пос./О.Ю.Бунин-М.:НИЦ ИНФРА-М,2018-95с.(ВО)(о)</t>
  </si>
  <si>
    <t>ИСПОЛНЕНИЕ НЕ СВЯЗАННЫХ С ИЗОЛЯЦИЕЙ ОТ ОБЩЕСТВА УГОЛОВНЫХ НАКАЗАНИЙ В ОРГАНАХ ВОЕННОГО УПРАВЛЕНИЯ</t>
  </si>
  <si>
    <t>Бунин О.Ю., Слифиш М.В.</t>
  </si>
  <si>
    <t>978-5-16-011889-5</t>
  </si>
  <si>
    <t>801663.01.01</t>
  </si>
  <si>
    <t>Исполнительная власть в сис. гос. управ.: Моногр. / Б.В.Россинский-М.:Юр. НОРМА, НИЦ ИНФРА-М,2023.-376 с.(п)</t>
  </si>
  <si>
    <t>ИСПОЛНИТЕЛЬНАЯ ВЛАСТЬ В СИСТЕМЕ ГОСУДАРСТВЕННОГО УПРАВЛЕНИЯ</t>
  </si>
  <si>
    <t>978-5-00156-298-6</t>
  </si>
  <si>
    <t>40.05.04, 41.03.04, 40.03.01, 41.04.04, 38.04.04, 40.05.01, 40.05.02, 40.05.03, 38.05.02, 38.06.01, 40.06.01, 41.06.01, 38.03.04</t>
  </si>
  <si>
    <t>796191.01.01</t>
  </si>
  <si>
    <t>Использование спец. знаний при доказывании по делам  о преступл... / А.А.Максуров-М.:НИЦ ИНФРА-М,2023-280с(П)</t>
  </si>
  <si>
    <t>ИСПОЛЬЗОВАНИЕ СПЕЦИАЛЬНЫХ ЗНАНИЙ ПРИ ДОКАЗЫВАНИИ ПО ДЕЛАМ  О ПРЕСТУПЛЕНИЯХ И ПРАВОНАРУШЕНИЯХ В СЕТИ ИНТЕРНЕТ</t>
  </si>
  <si>
    <t>978-5-16-018181-3</t>
  </si>
  <si>
    <t>56.04.01, 40.05.04, 40.04.01, 38.04.05, 10.05.04, 40.05.02, 38.05.02, 10.05.03, 10.05.05, 10.06.01, 40.06.01</t>
  </si>
  <si>
    <t>236300.07.01</t>
  </si>
  <si>
    <t>История гос. и права заруб. стран: Уч./ Е.В.Сафронова - М.: РИОР: ИНФРА-М, 2022. - 502 с. (п)</t>
  </si>
  <si>
    <t>ИСТОРИЯ ГОСУДАРСТВА И ПРАВА ЗАРУБЕЖНЫХ СТРАН</t>
  </si>
  <si>
    <t>Сафронова Е. В., Бельчук О. А., Евтушенко С. Г., Сафронова Е. В.</t>
  </si>
  <si>
    <t>978-5-369-01278-9</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</si>
  <si>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030900 «Юриспруденция», квалификация (степень) «бакалавр»</t>
  </si>
  <si>
    <t>Белгородский государственный национальный исследовательский университет</t>
  </si>
  <si>
    <t>040300.18.01</t>
  </si>
  <si>
    <t>История гос. и права заруб. стран: Уч.-метод.пос. /Отв.ред.Н.А.Крашенинникова-М.:НОРМА,ИНФРА-М,2023-320с</t>
  </si>
  <si>
    <t>Гринько М.А., Кофанов Л.Л., Лысенко О.Л. и др.</t>
  </si>
  <si>
    <t>978-5-91768-237-2</t>
  </si>
  <si>
    <t>Учебно-методическое пособие</t>
  </si>
  <si>
    <t>Допущено Министерством образования РФ в качестве учебного пособия для студентов высших учебных заведений, обучающихся по специальности 021100 "Юриспруденция"</t>
  </si>
  <si>
    <t>0103</t>
  </si>
  <si>
    <t>320600.11.01</t>
  </si>
  <si>
    <t>История гос. и права заруб. стран: Уч.пос. /А.Крашенинникова - М.:Норма:НИЦ ИНФРА-М,2024-320с(п)</t>
  </si>
  <si>
    <t>ИСТОРИЯ ГОСУДАРСТВА И ПРАВА ЗАРУБЕЖНЫХ СТРАН: ИЗБРАННЫЕ ПАМЯТНИКИ ПРАВА. ДРЕВНОСТЬ И СРЕДНЕВЕКОВЬЕ</t>
  </si>
  <si>
    <t>Крашенинникова Н.А.</t>
  </si>
  <si>
    <t>978-5-91768-558-8</t>
  </si>
  <si>
    <t>002157.33.01</t>
  </si>
  <si>
    <t>История гос. и права заруб.стран: Уч.:В 2 т.Т.1 / Н.А.Крашенинникова - 3 изд-Юр.Норма,НИЦ ИНФРА-М,2023-720с(П)</t>
  </si>
  <si>
    <t>ИСТОРИЯ ГОСУДАРСТВА И ПРАВА ЗАРУБЕЖНЫХ СТРАН, Т.1, ИЗД.3</t>
  </si>
  <si>
    <t>Крашенинникова Н.А., Лысенко О.Л., Савельев В.А. и др.</t>
  </si>
  <si>
    <t>978-5-91768-354-6</t>
  </si>
  <si>
    <t>0304</t>
  </si>
  <si>
    <t>107200.07.01</t>
  </si>
  <si>
    <t>История гос. и права зарубеж. стран: Уч.-методич. компл. / А.Ю.Саломатин-М.:НОРМА, НИЦ ИНФРА-М,2022.-496 с.(П)</t>
  </si>
  <si>
    <t>978-5-468-00289-6</t>
  </si>
  <si>
    <t>Учебно-методический комплекс</t>
  </si>
  <si>
    <t>045500.10.01</t>
  </si>
  <si>
    <t>История гос. и права зарубеж. стран: Уч.пос. /Ю.С.Тинт -М:ИЦ РИОР,НИЦ ИНФРА-М,2019-112с(ВО: Бак.)(О)</t>
  </si>
  <si>
    <t>Голубок С.А.</t>
  </si>
  <si>
    <t>Карманное учебное пособие</t>
  </si>
  <si>
    <t>978-5-369-00627-6</t>
  </si>
  <si>
    <t>Адвокатская палата Санкт-Петербурга</t>
  </si>
  <si>
    <t>744598.06.01</t>
  </si>
  <si>
    <t>История гос. и права России: Хрест.: В 3 т.Т.1 / А.С.Смыкалин - М.:НИЦ ИНФРА-М,2024 - 292 с.(ВО)(П)</t>
  </si>
  <si>
    <t>ИСТОРИЯ ГОСУДАРСТВА И ПРАВА РОССИИ, Т.1</t>
  </si>
  <si>
    <t>Смыкалин А.С., Баженова Т.М., Бодрова Э.Э. и др.</t>
  </si>
  <si>
    <t>978-5-16-016557-8</t>
  </si>
  <si>
    <t>745627.07.01</t>
  </si>
  <si>
    <t>История гос. и права России: Хрестоматия: В 3 т.Т.2 / А.С.Смыкалин -  М.:НИЦ ИНФРА-М,2024 - 336 с.(ВО)(П)</t>
  </si>
  <si>
    <t>ИСТОРИЯ ГОСУДАРСТВА И ПРАВА РОССИИ, Т.2</t>
  </si>
  <si>
    <t>Смыкалин А.С., Баженова Т.М., Смыкалин А.С.</t>
  </si>
  <si>
    <t>978-5-16-016559-2</t>
  </si>
  <si>
    <t>40.05.04, 40.02.01, 40.02.02, 40.03.01, 40.04.01, 40.05.01, 40.05.02, 40.05.03, 40.06.01, 40.02.03</t>
  </si>
  <si>
    <t>745635.07.01</t>
  </si>
  <si>
    <t>История гос. и права России: Хрестоматия: В 3 т.Т.3 / А.С.Смыкалин - М.:НИЦ ИНФРА-М,2024-315 с.(ВО)(П)</t>
  </si>
  <si>
    <t>ИСТОРИЯ ГОСУДАРСТВА И ПРАВА РОССИИ, Т.3</t>
  </si>
  <si>
    <t>978-5-16-016560-8</t>
  </si>
  <si>
    <t>010987.32.01</t>
  </si>
  <si>
    <t>История гос.и права заруб.стран: Уч.: В 2 т.Т.2 / Отв.ред.Н.А. Крашенинникова - М:НОРМА:ИНФРА-М,2024-816с</t>
  </si>
  <si>
    <t>ИСТОРИЯ ГОСУДАРСТВА И ПРАВА ЗАРУБЕЖНЫХ СТРАН: В 2 ТОМАХ, Т.2, ИЗД.3</t>
  </si>
  <si>
    <t>Крашенинникова Н.А., Гудошников Л.М., Жидков О.А. и др.</t>
  </si>
  <si>
    <t>978-5-91768-702-5</t>
  </si>
  <si>
    <t>0305</t>
  </si>
  <si>
    <t>646577.05.01</t>
  </si>
  <si>
    <t>История гос.и права зарубеж.стран...: Уч.пос. / Д.А.Пашенцев, - 2 изд.-М.:НИЦ ИНФРА-М,2023.-160 с(О)</t>
  </si>
  <si>
    <t>ИСТОРИЯ ГОСУДАРСТВА И ПРАВА ЗАРУБЕЖНЫХ СТРАН В СХЕМАХ, ИЗД.2</t>
  </si>
  <si>
    <t>Пашенцев Д.А.</t>
  </si>
  <si>
    <t>978-5-16-018464-7</t>
  </si>
  <si>
    <t>Рекомендовано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</si>
  <si>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177600.09.01</t>
  </si>
  <si>
    <t>История гос-ва и права заруб. стран: Уч. пос./А.Ю.Саломатин - М.:ИЦ РИОР:НИЦ Инфра-М, 2024-344с.(ВО) (п)</t>
  </si>
  <si>
    <t>978-5-369-00914-7</t>
  </si>
  <si>
    <t>Рекомендовано ФГБОУ ВПО "Московский педагогический государственный университет" в качестве учебного пособия для студентов вузов, обуч. по направлению 030900.62 - Юриспруденция</t>
  </si>
  <si>
    <t>236800.09.01</t>
  </si>
  <si>
    <t>История государства и права Рос.: Уч.: В 2 т. Т.1 /В.В.Захаров - М.: Норма: НИЦ ИНФРА-М, 2023 -448с. (п)</t>
  </si>
  <si>
    <t>Захаров В. В., Сырых В. М.</t>
  </si>
  <si>
    <t>978-5-91768-428-4</t>
  </si>
  <si>
    <t>Арбитражный суд Курской области</t>
  </si>
  <si>
    <t>113001.29.01</t>
  </si>
  <si>
    <t>История государства и права России: Уч. / И.А.Исаев - 4 изд. - М.:Юр.Норма,НИЦ ИНФРА-М,2023-800 с.(П)</t>
  </si>
  <si>
    <t>ИСТОРИЯ ГОСУДАРСТВА И ПРАВА РОССИИ, ИЗД.4</t>
  </si>
  <si>
    <t>Исаев И. А.</t>
  </si>
  <si>
    <t>978-5-91768-378-2</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</si>
  <si>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</si>
  <si>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0412</t>
  </si>
  <si>
    <t>236900.10.01</t>
  </si>
  <si>
    <t>История государства и права России: Уч.: В 2 т.Т.2 /В.М.Сырых - М.: Норма: НИЦ ИНФРА-М, 2024-400с(п)</t>
  </si>
  <si>
    <t>ИСТОРИЯ ГОСУДАРСТВА И ПРАВА РОССИИ</t>
  </si>
  <si>
    <t>Сырых В.М., Сырых В.М.</t>
  </si>
  <si>
    <t>978-5-91768-429-1</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</si>
  <si>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 ия »</t>
  </si>
  <si>
    <t>649239.06.01</t>
  </si>
  <si>
    <t>История государства и права России: Уч.пос. / Ю.А.Шестаков - М.:ИЦ РИОР, НИЦ ИНФРА-М,2024-310с.(ВО)(П)</t>
  </si>
  <si>
    <t>Шестаков Ю.А.</t>
  </si>
  <si>
    <t>978-5-369-01650-3</t>
  </si>
  <si>
    <t>Донской государственный технический университет, ф-л Институт сферы обслуживания и предпринимательст</t>
  </si>
  <si>
    <t>738656.05.01</t>
  </si>
  <si>
    <t>История государства и права России: Ч.1:  Уч. / Исаев.И.А.- М.:Юр.Норма, НИЦ ИНФРА-М,2024.-464 с.(П)</t>
  </si>
  <si>
    <t>Исаев И.А.</t>
  </si>
  <si>
    <t>978-5-00156-076-0</t>
  </si>
  <si>
    <t>40.03.01, 40.05.01, 40.05.02, 40.05.03</t>
  </si>
  <si>
    <t>636232.07.01</t>
  </si>
  <si>
    <t>История дознания полиции России: Монография / М.А.Маков - М.:НИЦ ИНФРА-М,2024 - 576 с.-(Науч.мысль)(П)</t>
  </si>
  <si>
    <t>ИСТОРИЯ ДОЗНАНИЯ ПОЛИЦИИ РОССИИ</t>
  </si>
  <si>
    <t>Маков М.А.</t>
  </si>
  <si>
    <t>978-5-16-012152-9</t>
  </si>
  <si>
    <t>454200.11.01</t>
  </si>
  <si>
    <t>История и методология юр.науки: универ.курс / В.В.Лазарев - М.:Юр.Норма,НИЦ ИНФРА-М,2023-496с.(п)</t>
  </si>
  <si>
    <t>ИСТОРИЯ И МЕТОДОЛОГИЯ ЮРИДИЧЕСКОЙ НАУКИ</t>
  </si>
  <si>
    <t>ЛазаревВ.В., Липень С.В., КорневА.В.</t>
  </si>
  <si>
    <t>978-5-91768-680-6</t>
  </si>
  <si>
    <t>189500.09.01</t>
  </si>
  <si>
    <t>История и методология юридической науки: Уч. / В.М.Сырых - М.:Юр.Норма,НИЦ ИНФРА-М,2018-464с.(П)</t>
  </si>
  <si>
    <t>Сырых В. М.</t>
  </si>
  <si>
    <t>978-5-91768-299-0</t>
  </si>
  <si>
    <t>649061.04.01</t>
  </si>
  <si>
    <t>История и методология юридической науки: Уч. / И.Л.Честнов - М.:НИЦ ИНФРА-М,2023.-283 с.(ВО)(П)</t>
  </si>
  <si>
    <t>Честнов И.Л.</t>
  </si>
  <si>
    <t>978-5-16-011995-3</t>
  </si>
  <si>
    <t>Рекомендовано в качестве учебника для студентов высших учебных заведений, обучающихся по направлению подготовки 40.04.01 «Юриспруденция» (квалификация (степень) «магистр»)</t>
  </si>
  <si>
    <t>Университет прокуратуры Российской Федерации, ф-л Санкт-Петербургский юридический институт</t>
  </si>
  <si>
    <t>768790.03.01</t>
  </si>
  <si>
    <t>История и методология юридической науки: Уч. / Л.П.Рассказов - М.:ИЦ РИОР, НИЦ ИНФРА-М,2022 - 583 с.-(ВО)(П)</t>
  </si>
  <si>
    <t>Рассказов Л.П.</t>
  </si>
  <si>
    <t>978-5-369-01888-0</t>
  </si>
  <si>
    <t>Кубанский государственный аграрный университет им. И.Т. Трубилина</t>
  </si>
  <si>
    <t>189500.16.01</t>
  </si>
  <si>
    <t>История и методология юридической науки: Уч./ В.М.Сырых - 2 изд. - М.:Юр.Норма,НИЦ ИНФРА-М,2023-512С(П)</t>
  </si>
  <si>
    <t>ИСТОРИЯ И МЕТОДОЛОГИЯ ЮРИДИЧЕСКОЙ НАУКИ, ИЗД.2</t>
  </si>
  <si>
    <t>Сырых В.М.</t>
  </si>
  <si>
    <t>978-5-91768-958-6</t>
  </si>
  <si>
    <t>678843.04.01</t>
  </si>
  <si>
    <t>История и методология юридической науки: Уч.пос. / И.А.Исаев-М.:Юр.Норма,НИЦ ИНФРА-М,2023-128с(П)</t>
  </si>
  <si>
    <t>Исаев И.А., Мележик И.Н., Филиппова Т.П.</t>
  </si>
  <si>
    <t>978-5-91768-895-4</t>
  </si>
  <si>
    <t>720673.05.01</t>
  </si>
  <si>
    <t>История и философия науки: Уч. / В.И.Пржиленский - М.:Юр.Норма, НИЦ ИНФРА-М,2024 - 296 с.(П)</t>
  </si>
  <si>
    <t>ИСТОРИЯ И ФИЛОСОФИЯ НАУКИ</t>
  </si>
  <si>
    <t>Пржиленский В.И.</t>
  </si>
  <si>
    <t>978-5-00156-030-2</t>
  </si>
  <si>
    <t>Профессиональное образование / ВО - Кадры высшей квалификации / Аспирантура</t>
  </si>
  <si>
    <t>40.06.01</t>
  </si>
  <si>
    <t>473100.08.01</t>
  </si>
  <si>
    <t>История отеч. гос. и права: Уч.пос.: Ч.1 / Давидян Г.М. - М.:Юр.Норма,НИЦ ИНФРА-М,2024-640с(п)</t>
  </si>
  <si>
    <t>ИСТОРИЯ ОТЕЧЕСТВЕННОГО ГОСУДАРСТВА И ПРАВА. ЧАСТЬ 1</t>
  </si>
  <si>
    <t>Давидян Г.М., Куприянова О.И., Полянский П.Л. и др.</t>
  </si>
  <si>
    <t>978-5-91768-699-8</t>
  </si>
  <si>
    <t>Рекомендовано Учебно-методическим объединением по юридическому образованию вузов Российской Федерации в качестве учебного пособия для студентов образовательных организаций, обучающихся по направлению подготовки «Юриспруденция», квалификация (степень) «бакалавр»</t>
  </si>
  <si>
    <t>653032.09.01</t>
  </si>
  <si>
    <t>История отеч. гос. и права: Уч.пос.: Ч.2 / Давидян Г.М. - М.:Юр.Норма,НИЦ ИНФРА-М,2023 - 736 с.(П)</t>
  </si>
  <si>
    <t>ИСТОРИЯ ОТЕЧЕСТВЕННОГО ГОСУДАРСТВА И ПРАВА. ЧАСТЬ 2</t>
  </si>
  <si>
    <t>Давидян Г.М., Полянский П.Л., Куприянова О.И. и др.</t>
  </si>
  <si>
    <t>978-5-91768-824-4</t>
  </si>
  <si>
    <t>043370.11.01</t>
  </si>
  <si>
    <t>История отеч. государства и права: Уч. пос./А.И.Тихонов - М.: ИЦ РИОР, 2020-121с.(Карм. учеб. пос.) (о)</t>
  </si>
  <si>
    <t>ИСТОРИЯ ОТЕЧЕСТВЕННОГО ГОСУДАРСТВА И ПРАВА</t>
  </si>
  <si>
    <t>Тихонов А. И.</t>
  </si>
  <si>
    <t>978-5-369-00912-3</t>
  </si>
  <si>
    <t>481200.08.01</t>
  </si>
  <si>
    <t>История отечественного гос. и права: Уч.пос. / Д.А.Пашенцев, - 2 изд.-М.:НИЦ ИНФРА-М,2024.-429 с..-(ВО)(п)</t>
  </si>
  <si>
    <t>ИСТОРИЯ ОТЕЧЕСТВЕННОГО ГОСУДАРСТВА И ПРАВА, ИЗД.2</t>
  </si>
  <si>
    <t>Пашенцев Д.А., Чернявский А.Г.</t>
  </si>
  <si>
    <t>978-5-16-019201-7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</si>
  <si>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9 от 13.04.2019)</t>
  </si>
  <si>
    <t>682941.01.01</t>
  </si>
  <si>
    <t>История отечественного гос. и права: Уч.пос. / Д.А.Пашенцев-М.:НИЦ ИНФРА-М,2021.-429 с.(СПО)(П)</t>
  </si>
  <si>
    <t>978-5-16-013945-6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</si>
  <si>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22.06.2020)</t>
  </si>
  <si>
    <t>645331.02.01</t>
  </si>
  <si>
    <t>История отечественного гос. и правав схемах: Уч.пос. / Д.А.Пашенцев-М.:НИЦ ИНФРА-М,2020-143с(СПО)(О)</t>
  </si>
  <si>
    <t>ИСТОРИЯ ОТЕЧЕСТВЕННОГО ГОСУДАРСТВА И ПРАВАВ СХЕМАХ</t>
  </si>
  <si>
    <t>978-5-16-012434-6</t>
  </si>
  <si>
    <t>40.00.00, 40.03.01</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</si>
  <si>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40.00.00 «Юриспруденция»</t>
  </si>
  <si>
    <t>481200.03.01</t>
  </si>
  <si>
    <t>История отечественного государства и права: Уч.пос. / Д.А.Пашенцев-М.:НИЦ ИНФРА-М,2019.-428с.(ВО)(П)</t>
  </si>
  <si>
    <t>978-5-16-011701-0</t>
  </si>
  <si>
    <t>Рекомендовано в качестве учебного пособия для студентов высших учебнь/х заведений, обучающихся по направлению подготовки 40.03.01 «Юриспруденция» (квалификация (степень) «бакалавр»)</t>
  </si>
  <si>
    <t>025500.16.01</t>
  </si>
  <si>
    <t>История полит. и прав. учений: Краткий уч. курс / Под  ред. В.С. Нерсесянца.-НОРМА, ИНФРА-М,2023.-352 с.(о)</t>
  </si>
  <si>
    <t>ИСТОРИЯ ПОЛИТИЧЕСКИХ И ПРАВОВЫХ УЧЕНИЙ</t>
  </si>
  <si>
    <t>Нерсесянц В. С.</t>
  </si>
  <si>
    <t>978-5-89123-442-0</t>
  </si>
  <si>
    <t>0100</t>
  </si>
  <si>
    <t>304700.06.01</t>
  </si>
  <si>
    <t>История полит. и правовых учений Др.мира, Средв, Возрож. и Нов.вр.: Уч.пос./О.А.Сухорукова-М.:ИД ФОРУМ,НИЦ ИНФРА-М,2024-128с(О)</t>
  </si>
  <si>
    <t>ИСТОРИЯ ПОЛИТИЧЕСКИХ И ПРАВОВЫХ УЧЕНИЙ ДРЕВНЕГО МИРА, СРЕДНЕВЕКОВЬЯ, ВОЗРОЖДЕНИЯ И НОВОГО ВРЕМЕНИ</t>
  </si>
  <si>
    <t>Сухорукова О.А.</t>
  </si>
  <si>
    <t>978-5-8199-0610-1</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</si>
  <si>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высших учебных заведений (бакалавриат)</t>
  </si>
  <si>
    <t>Московский государственный психолого-педагогический университет</t>
  </si>
  <si>
    <t>073000.06.01</t>
  </si>
  <si>
    <t>История полит. и правовых учений: Уч. пос. / С.А. Дробышевский. - 2 изд. - М.: НОРМА, 2017.-592с(п)</t>
  </si>
  <si>
    <t>ИСТОРИЯ ПОЛИТИЧЕСКИХ И ПРАВОВЫХ УЧЕНИЙ: ОСНОВНЫЕ КЛАССИЧЕСКИЕ ИДЕИ, ИЗД.2</t>
  </si>
  <si>
    <t>978-5-468-00095-3</t>
  </si>
  <si>
    <t>0207</t>
  </si>
  <si>
    <t>682942.03.01</t>
  </si>
  <si>
    <t>История полит. и правовых учений: Уч.пос. / О.А.Сухорукова-М.:ИД Форум, НИЦ ИНФРА-М,2023-128 с.(О)</t>
  </si>
  <si>
    <t>978-5-8199-0854-9</t>
  </si>
  <si>
    <t>40.02.01, 40.02.02, 40.03.01, 40.02.03</t>
  </si>
  <si>
    <t>207200.06.01</t>
  </si>
  <si>
    <t>История политич. и прав. учений Рос.: Уч. /И.А.Исаев -3 изд. - М.:Норма: НИЦ ИНФРА-М, 2024  - 432с.(CD) (п,cd)</t>
  </si>
  <si>
    <t>ИСТОРИЯ ПОЛИТИЧЕСКИХ И ПРАВОВЫХ УЧЕНИЙ РОССИИ, ИЗД.3</t>
  </si>
  <si>
    <t>Исаев И. А., Золотухина Н. М.</t>
  </si>
  <si>
    <t>978-5-91768-382-9</t>
  </si>
  <si>
    <t>41.03.04, 40.03.01, 41.03.05, 41.04.04, 40.04.01, 41.04.05, 40.05.01, 40.05.02, 44.03.05, 41.03.06</t>
  </si>
  <si>
    <t>0313</t>
  </si>
  <si>
    <t>073000.09.01</t>
  </si>
  <si>
    <t>История политических и правов. учений..: Уч.пос. / С.А.Дробышевский - 3 изд. - М.:НОРМА,2022-592с. (п)</t>
  </si>
  <si>
    <t>ИСТОРИЯ ПОЛИТИЧЕСКИХ И ПРАВОВЫХ УЧЕНИЙ: ОСНОВНЫЕ КЛАССИЧЕСКИЕ ИДЕИ, ИЗД.3</t>
  </si>
  <si>
    <t>978-5-91768-831-2</t>
  </si>
  <si>
    <t>646041.01.01</t>
  </si>
  <si>
    <t>История политических и правовых учений: Уч. / А.А.Акмалова-М.:НИЦ ИНФРА-М,2023.-482 с.(ВО: Магистр.)(П)</t>
  </si>
  <si>
    <t>Акмалова А.А., Капицын В.М.</t>
  </si>
  <si>
    <t>978-5-16-014365-1</t>
  </si>
  <si>
    <t>060466.14.01</t>
  </si>
  <si>
    <t>История политических и правовых учений: Уч. / В.Г. Графский - 3 изд. - М.: Норма,2022 - 736 с. (п)</t>
  </si>
  <si>
    <t>ИСТОРИЯ ПОЛИТИЧЕСКИХ И ПРАВОВЫХ УЧЕНИЙ, ИЗД.3</t>
  </si>
  <si>
    <t>978-5-91768-037-8</t>
  </si>
  <si>
    <t>0309</t>
  </si>
  <si>
    <t>062000.18.01</t>
  </si>
  <si>
    <t>История политических и правовых учений: Уч. / В.С.Нерсесянц - М.:Юр.Норма, НИЦ ИНФРА-М,2023 - 704 с.(П)</t>
  </si>
  <si>
    <t>Нерсесянц В.С.</t>
  </si>
  <si>
    <t>978-5-91768-262-4</t>
  </si>
  <si>
    <t>0105</t>
  </si>
  <si>
    <t>781589.02.01</t>
  </si>
  <si>
    <t>История политических и правовых учений: Уч. / Г.С.Працко-М.:ИЦ РИОР, НИЦ ИНФРА-М,2023.-451 с.(ВО)(П)</t>
  </si>
  <si>
    <t>СПО</t>
  </si>
  <si>
    <t>978-5-369-01910-8</t>
  </si>
  <si>
    <t>292000.04.01</t>
  </si>
  <si>
    <t>История политических и правовых учений: Уч. /В.В.Лазарев-3изд.-М.:Юр.Норма,НИЦ ИНФРА-М,2023-800с.(п)</t>
  </si>
  <si>
    <t>ЛазаревВ.В.</t>
  </si>
  <si>
    <t>978-5-91768-725-4</t>
  </si>
  <si>
    <t>043940.08.01</t>
  </si>
  <si>
    <t>История политических и правовых учений: Уч.пос. / М.Э.Крылов - 2 изд.-М.:ИЦ РИОР,ИНФРА-М,2020-141с(О)</t>
  </si>
  <si>
    <t>ИСТОРИЯ ПОЛИТИЧЕСКИХ И ПРАВОВЫХ УЧЕНИЙ, ИЗД.2</t>
  </si>
  <si>
    <t>Крылов М. Э.</t>
  </si>
  <si>
    <t>978-5-369-00680-1</t>
  </si>
  <si>
    <t>41.03.04, 40.03.01, 40.04.01, 44.03.05, 41.03.06</t>
  </si>
  <si>
    <t>078509.11.01</t>
  </si>
  <si>
    <t>История политических учений: Уч. / В.Д.Зотов - 3 изд.-М.:Юр. НОРМА, НИЦ ИНФРА-М,2024.-672 с.(п)</t>
  </si>
  <si>
    <t>ИСТОРИЯ ПОЛИТИЧЕСКИХ УЧЕНИЙ, ИЗД.3</t>
  </si>
  <si>
    <t>Зотов В. Д., Зотова Л. В.</t>
  </si>
  <si>
    <t>978-5-91768-360-7</t>
  </si>
  <si>
    <t>40.05.04, 41.03.04, 40.03.01, 40.04.01, 40.05.01, 40.05.02, 40.05.03, 44.03.05, 41.03.06</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</si>
  <si>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"Политология"</t>
  </si>
  <si>
    <t>460400.13.01</t>
  </si>
  <si>
    <t>История суда и правосудие: Моногр.: В 9 т.Т.1: Законод. / С.А.Колунтаев-М.:Юр.Норма,НИЦ ИНФРА-М,2024-640с(П)</t>
  </si>
  <si>
    <t>ИСТОРИЯ СУДА И ПРАВОСУДИЯ В РОССИИ. В 9 Т.</t>
  </si>
  <si>
    <t>Колунтаев С.А., Сырых В.М., Ершов В.В.</t>
  </si>
  <si>
    <t>978-5-91768-688-2</t>
  </si>
  <si>
    <t>40.03.01, 40.04.01, 40.05.02, 40.06.01</t>
  </si>
  <si>
    <t>693973.03.01</t>
  </si>
  <si>
    <t>История суда и правосудия в Рос. Т.3: Моногр./ Без автора-М.: Юр. Норма, НИЦ ИНФРА-М,2022-672с(П)</t>
  </si>
  <si>
    <t>ИСТОРИЯ СУДА И ПРАВОСУДИЯ В РОССИИ. Т. 3, Т.3</t>
  </si>
  <si>
    <t>978-5-91768-972-2</t>
  </si>
  <si>
    <t>729515.03.01</t>
  </si>
  <si>
    <t>История суда и правосудия в Рос.:Т.5: Моногр. /Отв. ред. В.В.Ершова - М.:Юр.Норма, НИЦ ИНФРА-М,2022.-695 с.(П)</t>
  </si>
  <si>
    <t>ИСТОРИЯ СУДА И ПРАВОСУДИЯ В РОССИИ. ТОМ 5</t>
  </si>
  <si>
    <t>Ершов В.В., Сырых В.М., Краковский К.П. и др.</t>
  </si>
  <si>
    <t>978-5-00156-046-3</t>
  </si>
  <si>
    <t>40.02.01, 40.02.02, 40.03.01, 40.04.01, 40.02.03</t>
  </si>
  <si>
    <t>665680.05.01</t>
  </si>
  <si>
    <t>История суда и правосудия в России, Т. 2: Моногр. / В.М.Сырых-М.:Юр.Норма, НИЦ ИНФРА-М,2023.-688 с.(П)</t>
  </si>
  <si>
    <t>ИСТОРИЯ СУДА И ПРАВОСУДИЯ В РОССИИ, ТОМ 2</t>
  </si>
  <si>
    <t>978-5-91768-856-5</t>
  </si>
  <si>
    <t>708107.05.01</t>
  </si>
  <si>
    <t>История суда и правосудия в России. Т.4:Судоустройство../К.П.Краковский-М.:Юр.Норма, НИЦ ИНФРА-М,2024-672с(П)</t>
  </si>
  <si>
    <t>ИСТОРИЯ СУДА И ПРАВОСУДИЯ В РОССИИ. ТОМ 4: СУДОУСТРОЙСТВО И СУДОПРОИЗВОДСТВО В РОССИИ ПЕРИОДА СУДЕБНЫХ РЕФОРМ (1864-1881ГГ), Т.4</t>
  </si>
  <si>
    <t>Краковский К.П.</t>
  </si>
  <si>
    <t>978-5-91768-734-6</t>
  </si>
  <si>
    <t>40.05.04, 40.04.01, 40.05.01, 40.06.01</t>
  </si>
  <si>
    <t>789531.01.01</t>
  </si>
  <si>
    <t>История суда и правосудия в России. Т.8 / Отв.ред.В.В.Ершов-М.:Юр. НОРМА, НИЦ ИНФРА-М,2023.-448 с.(П)</t>
  </si>
  <si>
    <t>ИСТОРИЯ СУДА И ПРАВОСУДИЯ В РОССИИ. Т.8</t>
  </si>
  <si>
    <t>Ершов В.В., Аулов В.К., Бурдина Е.В. и др.</t>
  </si>
  <si>
    <t>978-5-00156-268-9</t>
  </si>
  <si>
    <t>40.05.04, 40.03.01, 40.04.01, 40.05.03</t>
  </si>
  <si>
    <t>754144.03.01</t>
  </si>
  <si>
    <t>История суда и правосудия в России..: Т.7: Моногр.  / Сырых В.М. - М.:Юр.Норма, НИЦ ИНФРА-М, 2022 - 688 с.(П)</t>
  </si>
  <si>
    <t>ИСТОРИЯ СУДА И ПРАВОСУДИЯ В РОССИИ</t>
  </si>
  <si>
    <t>Сырых В.М., Ершов В.В.</t>
  </si>
  <si>
    <t>978-5-00156-162-0</t>
  </si>
  <si>
    <t>40.05.04, 40.03.01, 40.04.01, 40.05.03, 40.06.01</t>
  </si>
  <si>
    <t>741190.04.01</t>
  </si>
  <si>
    <t>История суда и правосудия в России: Т. 6: Моногр./ В. М. Сырых - М. : Норма, 2024. — 664 с.(П)</t>
  </si>
  <si>
    <t>ИСТОРИЯ СУДА И ПРАВОСУДИЯ В РОССИИ: ТОМ 6</t>
  </si>
  <si>
    <t>978-5-00156-086-9</t>
  </si>
  <si>
    <t>786079.01.01</t>
  </si>
  <si>
    <t>История суда и правосудия в России: Т.9. История конст. прав..: Моногр.-М.:Юр. НОРМА, НИЦ ИНФРА-М,2022-632с.(П)</t>
  </si>
  <si>
    <t>ИСТОРИЯ СУДА И ПРАВОСУДИЯ В РОССИИ. Т.9, Т.9</t>
  </si>
  <si>
    <t>Ершов В., Сырых В.М.</t>
  </si>
  <si>
    <t>978-5-00156-258-0</t>
  </si>
  <si>
    <t>785107.01.01</t>
  </si>
  <si>
    <t>Источники и формы права в совр. финанс.-правовой науке/Под ред. Пешкова Х.В.-М.:НИЦ ИНФРА-М,2023-380с(п)</t>
  </si>
  <si>
    <t>ИСТОЧНИКИ И ФОРМЫ ПРАВА В СОВРЕМЕННОЙ ФИНАНСОВО-ПРАВОВОЙ НАУКЕ</t>
  </si>
  <si>
    <t>Белогорцева Х.В., Мирошник С.В., Запольский С.В. и др.</t>
  </si>
  <si>
    <t>978-5-16-017935-3</t>
  </si>
  <si>
    <t>38.04.09, 40.04.01, 40.06.01</t>
  </si>
  <si>
    <t>767673.02.01</t>
  </si>
  <si>
    <t>Источники и формы совр. рос. права: Монография / А.Н.Чашин-М.:НИЦ ИНФРА-М,2023.-452 с(П)</t>
  </si>
  <si>
    <t>ИСТОЧНИКИ И ФОРМЫ СОВРЕМЕННОГО РОССИЙСКОГО ПРАВА</t>
  </si>
  <si>
    <t>Чашин А.Н.</t>
  </si>
  <si>
    <t>978-5-16-017467-9</t>
  </si>
  <si>
    <t>40.05.04, 40.03.01, 40.04.01, 40.05.01, 40.05.02, 40.05.03, 38.05.01, 40.06.01</t>
  </si>
  <si>
    <t>Северо-Восточный государственный университет</t>
  </si>
  <si>
    <t>266900.08.01</t>
  </si>
  <si>
    <t>Источники права: Уч. пос./ М.Н. Марченко. - 2 изд., перераб. - М.: Норма: ИНФРА-М, 2023. - 672 с. (п)</t>
  </si>
  <si>
    <t>ИСТОЧНИКИ ПРАВА, ИЗД.2</t>
  </si>
  <si>
    <t>Марченко М.Н.</t>
  </si>
  <si>
    <t>9785917684673</t>
  </si>
  <si>
    <t>40.02.01, 40.02.02, 40.03.01, 44.03.05, 41.03.01, 41.03.06</t>
  </si>
  <si>
    <t>Рекомендовано Учебно-методическим объединением по юридическому образованию высших учебных заведений в качестве учебного пособия для студентов высших учебных заведений, обучающихся по направлению «Юриспруденция» и специальности «Юриспруденция»</t>
  </si>
  <si>
    <t>796506.02.01</t>
  </si>
  <si>
    <t>Источники экологического права: Моногр. / В.Б.Агафонов и др.-М.:НИЦ ИНФРА-М,2023.-344 с.(ИЗиСП)(п)</t>
  </si>
  <si>
    <t>ИСТОЧНИКИ ЭКОЛОГИЧЕСКОГО ПРАВА</t>
  </si>
  <si>
    <t>Агафонов В.Б., Боголюбов С.А., Васильева Л.Н. и др.</t>
  </si>
  <si>
    <t>978-5-16-018141-7</t>
  </si>
  <si>
    <t>40.05.04, 40.04.01, 20.04.01, 20.04.02, 40.05.01, 40.05.02, 20.06.01, 40.06.01</t>
  </si>
  <si>
    <t>674607.05.01</t>
  </si>
  <si>
    <t>Иудейское право без гос.: история и совр.: Уч.пос./ А.А.Каневский - М.:НИЦ ИНФРА-М,2023 - 195 с.(ВО)(П)</t>
  </si>
  <si>
    <t>ИУДЕЙСКОЕ ПРАВО БЕЗ ГОСУДАРСТВА: ИСТОРИЯ И СОВРЕМЕННОСТЬ</t>
  </si>
  <si>
    <t>Каневский А.А.</t>
  </si>
  <si>
    <t>978-5-16-014328-6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</si>
  <si>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13 от 16.09.2019)</t>
  </si>
  <si>
    <t>336100.09.01</t>
  </si>
  <si>
    <t>Кадастровая деятельность: Уч./ А.А.Варламов - 2 изд. - М.:Форум, НИЦ ИНФРА-М,2021 - 279 с.(ВО)(П)</t>
  </si>
  <si>
    <t>КАДАСТРОВАЯ ДЕЯТЕЛЬНОСТЬ, ИЗД.2</t>
  </si>
  <si>
    <t>Варламов А. А., Гальченко С. А., Аврунев Е. И., Варламов А. А.</t>
  </si>
  <si>
    <t>978-5-00091-460-1</t>
  </si>
  <si>
    <t>05.02.01, 40.03.01, 21.04.02, 40.05.03, 21.03.02</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</si>
  <si>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t>
  </si>
  <si>
    <t>718648.02.01</t>
  </si>
  <si>
    <t>Картели: проблемы уголовной политики..: Моногр. / С.В.Максимов-М.:Юр. НОРМА, НИЦ ИНФРА-М,2023.-96 с.(о)</t>
  </si>
  <si>
    <t>КАРТЕЛИ: ПРОБЛЕМЫ УГОЛОВНОЙ ПОЛИТИКИ, ЕВРАЗИЙСКИЙ ОПЫТ, ПЕРСПЕКТИВЫ</t>
  </si>
  <si>
    <t>Максимов С.В., Утаров К.А.</t>
  </si>
  <si>
    <t>978-5-00156-020-3</t>
  </si>
  <si>
    <t>401100.10.01</t>
  </si>
  <si>
    <t>Квалификация преступл..: Моногр. / В.К.Дуюнов - 5 изд. - М.:ИЦ РИОР, НИЦ ИНФРА-М,2020 - 431 с.(П)</t>
  </si>
  <si>
    <t>КВАЛИФИКАЦИЯ ПРЕСТУПЛЕНИЙ: ЗАКОНОДАТЕЛЬСТВО, ТЕОРИЯ, СУДЕБНАЯ ПРАКТИКА, ИЗД.5</t>
  </si>
  <si>
    <t>Дуюнов В.К., Хлебушкин А.Г.</t>
  </si>
  <si>
    <t>978-5-369-01849-1</t>
  </si>
  <si>
    <t>401100.09.01</t>
  </si>
  <si>
    <t>Квалификация преступл.: Моногр. / В.К.Дуюнов - 4 изд. - М.:ИЦ РИОР,НИЦ ИНФРА-М,2019 - 431 с.(П)</t>
  </si>
  <si>
    <t>КВАЛИФИКАЦИЯ ПРЕСТУПЛЕНИЙ: ЗАКОНОДАТЕЛЬСТВО, ТЕОРИЯ, СУДЕБНАЯ ПРАКТИКА, ИЗД.4</t>
  </si>
  <si>
    <t>978-5-369-01795-1</t>
  </si>
  <si>
    <t>0419</t>
  </si>
  <si>
    <t>757884.03.01</t>
  </si>
  <si>
    <t>Квалификация преступлений в сюжетах худ. лит.: Моногр. / Л.Р.Клебанов-М.:Юр.Норма,ИНФРА-М,2023.-232 с.(П)</t>
  </si>
  <si>
    <t>КВАЛИФИКАЦИЯ ПРЕСТУПЛЕНИЙ В СЮЖЕТАХ ХУДОЖЕСТВЕННОЙ ЛИТЕРАТУРЫ</t>
  </si>
  <si>
    <t>978-5-00156-178-1</t>
  </si>
  <si>
    <t>40.05.04, 40.03.01, 40.04.01, 40.05.02, 40.05.03, 40.06.01</t>
  </si>
  <si>
    <t>401100.14.01</t>
  </si>
  <si>
    <t>Квалификация преступлений...: Моногр. / В.К.Дуюнов - 6 изд. - М.:ИЦ РИОР, НИЦ ИНФРА-М,2023-481 с.(П)</t>
  </si>
  <si>
    <t>КВАЛИФИКАЦИЯ ПРЕСТУПЛЕНИЙ: ЗАКОНОДАТЕЛЬСТВО, ТЕОРИЯ, СУДЕБНАЯ ПРАКТИКА, ИЗД.6</t>
  </si>
  <si>
    <t>978-5-369-01875-0</t>
  </si>
  <si>
    <t>0621</t>
  </si>
  <si>
    <t>767032.03.01</t>
  </si>
  <si>
    <t>Квалификация преступлений: Уч.пос. / В.Ф.Антонов - М.:ИЦ РИОР, НИЦ ИНФРА-М,2023 - 72 с.-(ВО)(О)</t>
  </si>
  <si>
    <t>КВАЛИФИКАЦИЯ ПРЕСТУПЛЕНИЙ</t>
  </si>
  <si>
    <t>Антонов В.Ф.</t>
  </si>
  <si>
    <t>978-5-369-01895-8</t>
  </si>
  <si>
    <t>40.03.01, 40.04.01, 40.05.01</t>
  </si>
  <si>
    <t>230400.08.01</t>
  </si>
  <si>
    <t>Квалификация убийств при отягч. обстоят.: Моногр. / Н.А.Бабий-М.:НИЦ ИНФРА-М,2023.-287 с.(Науч.мысль)(О)</t>
  </si>
  <si>
    <t>КВАЛИФИКАЦИЯ УБИЙСТВ ПРИ ОТЯГЧАЮЩИХ ОБСТОЯТЕЛЬСТВАХ</t>
  </si>
  <si>
    <t>Бабий Н.А.</t>
  </si>
  <si>
    <t>978-5-16-009059-7</t>
  </si>
  <si>
    <t>640374.05.01</t>
  </si>
  <si>
    <t>Квалификация убийств: Науч.-практ. пос. / Д.Ю.Гончаров-М.:НИЦ ИНФРА-М,2022.-131 с.(ВО)(О)</t>
  </si>
  <si>
    <t>КВАЛИФИКАЦИЯ УБИЙСТВ</t>
  </si>
  <si>
    <t>Гончаров Д.Ю.</t>
  </si>
  <si>
    <t>978-5-16-012601-2</t>
  </si>
  <si>
    <t>Профессиональное образование / ВО - Кадры высшей квалификации</t>
  </si>
  <si>
    <t>40.05.04, 40.02.01, 40.02.02, 40.03.01, 40.04.01, 40.05.01, 40.05.02, 40.05.03, 40.06.01, 44.03.05</t>
  </si>
  <si>
    <t>Уральский государственный экономический университет</t>
  </si>
  <si>
    <t>746313.03.01</t>
  </si>
  <si>
    <t>Классификация сост. преступ. в уголов. праве: Моногр. / А.М.Ораздурдыев - М.:Юр.Норма,2023 - 408 с.(П)</t>
  </si>
  <si>
    <t>КЛАССИФИКАЦИЯ СОСТАВОВ ПРЕСТУПЛЕНИЙ В УГОЛОВНОМ ПРАВЕ</t>
  </si>
  <si>
    <t>978-5-00156-106-4</t>
  </si>
  <si>
    <t>732746.05.01</t>
  </si>
  <si>
    <t>Кодекс законов о браке, семье и опеке РСФСР 1926 г..: Моногр. / П.Л.Полянский - М.:Юр.Норма,2023 - 240 с.(П)</t>
  </si>
  <si>
    <t>КОДЕКС ЗАКОНОВ О БРАКЕ, СЕМЬЕ И ОПЕКЕ РСФСР 1926 ГОДА</t>
  </si>
  <si>
    <t>Полянский П.Л.</t>
  </si>
  <si>
    <t>978-5-00156-056-2</t>
  </si>
  <si>
    <t>661931.07.01</t>
  </si>
  <si>
    <t>Коллизионные нормы в советском праве: Моногр. / Н.А.Власенко - М.:Юр.Норма, НИЦ ИНФРА-М,2023 - 100 с.(О)</t>
  </si>
  <si>
    <t>КОЛЛИЗИОННЫЕ НОРМЫ В СОВЕТСКОМ ПРАВЕ</t>
  </si>
  <si>
    <t>Власенко Н.А.</t>
  </si>
  <si>
    <t>978-5-91768-861-9</t>
  </si>
  <si>
    <t>639825.08.01</t>
  </si>
  <si>
    <t>Коммент. к ГК РФ: В 2 т.Т.2 / Л.А.Трахтенгерц - 2 изд. - М.:НИЦ ИНФРА-М,2018-524с.(П)</t>
  </si>
  <si>
    <t>КОММЕНТАРИЙ К ГРАЖДАНСКОМУ КОДЕКСУ РОССИЙСКОЙ ФЕДЕРАЦИИ (ЧАСТИ ЧЕТВЕРТОЙ) (ПОСТАТЕЙНЫЙ), Т.1, ИЗД.2</t>
  </si>
  <si>
    <t>Трахтенгерц Л.А.</t>
  </si>
  <si>
    <t>978-5-16-012262-5</t>
  </si>
  <si>
    <t>Федеральный институт промышленной собственности</t>
  </si>
  <si>
    <t>733604.03.01</t>
  </si>
  <si>
    <t>Коммент. к главе 8 Кодекса РФ об адм. правонаруш. от 30.12.2001 г. / А.Ф. Ноздрачев - М.: НИЦ ИНФРА-М,2021-472с(П)</t>
  </si>
  <si>
    <t>КОММЕНТАРИЙ К ГЛАВЕ 8 КОДЕКСА РОССИЙСКОЙ ФЕДЕРАЦИИ ОБ АДМИНИСТРАТИВНЫХ ПРАВОНАРУШЕНИЯХ ОТ 30 ДЕКАБРЯ 2001 ГОДА № 195-ФЗ «АДМИНИСТРАТИВНЫЕ ПРАВОНАРУШЕНИЯ В СФЕРЕ ОХРАНЫ ОКРУЖАЮЩЕЙ СРЕДЫ И ПРИРОДОПОЛЬЗОВАНИЯ» (ПОСТАТЕЙНЫЙ)</t>
  </si>
  <si>
    <t>Ноздрачев А.Ф., Васильева М.И., Галиновская Е.А. и др.</t>
  </si>
  <si>
    <t>978-5-16-016077-1</t>
  </si>
  <si>
    <t>095800.06.01</t>
  </si>
  <si>
    <t>Коммент. к ГПК РФ/ В.В.Ярков, - 5-е изд.-М.:Юр.Норма, НИЦ ИНФРА-М,2023.- 928с.(П)</t>
  </si>
  <si>
    <t>КОММЕНТАРИЙ К ГРАЖДАНСКОМУ ПРОЦЕССУАЛЬНОМУ КОДЕКСУ РОССИЙСКОЙ ФЕДЕРАЦИИ, ИЗД.5</t>
  </si>
  <si>
    <t>Ярков В.В.</t>
  </si>
  <si>
    <t>Комментарии "Нормы"</t>
  </si>
  <si>
    <t>978-5-00156-135-4</t>
  </si>
  <si>
    <t>0521</t>
  </si>
  <si>
    <t>121850.09.01</t>
  </si>
  <si>
    <t>Коммент. к Земельному кодексу РФ(постат.) /Е.С.Болтанова - 4 изд. - М.:ИЦ РИОР,НИЦ ИНФРА-М,2023-477с(О)</t>
  </si>
  <si>
    <t>КОММЕНТАРИЙ К ЗЕМЕЛЬНОМУ КОДЕКСУ РОССИЙСКОЙ ФЕДЕРАЦИИ (ПОСТАТЕЙНЫЙ), ИЗД.4</t>
  </si>
  <si>
    <t>978-5-369-01882-8</t>
  </si>
  <si>
    <t>40.03.01, 06.03.02, 40.04.01</t>
  </si>
  <si>
    <t>121850.06.01</t>
  </si>
  <si>
    <t>Коммент. к Земельному кодексу РФ(постат.) /Е.С.Болтанова- 3 изд.-М.:ИЦ РИОР,НИЦ ИНФРА-М,2019-412с(О)</t>
  </si>
  <si>
    <t>КОММЕНТАРИЙ К ЗЕМЕЛЬНОМУ КОДЕКСУ РОССИЙСКОЙ ФЕДЕРАЦИИ (ПОСТАТЕЙНЫЙ), ИЗД.3</t>
  </si>
  <si>
    <t>978-5-369-01691-6</t>
  </si>
  <si>
    <t>766769.03.01</t>
  </si>
  <si>
    <t>Коммент. к Конституции РФ (пост.): с учетом изм. на 1.07. 2020г./Под ред. Хабриевой Т.Я.-М.:НИЦ ИНФРА-М,2023-368 с.(П)</t>
  </si>
  <si>
    <t>КОММЕНТАРИЙ К КОНСТИТУЦИИ РОССИЙСКОЙ ФЕДЕРАЦИИ (ПОСТАТЕЙНЫЙ): С УЧЕТОМ ИЗМЕНЕНИЙ, ОДОБРЕННЫХ В ХОДЕ ОБЩЕРОССИЙСКОГО ГОЛОСОВАНИЯ 1 ИЮЛЯ 2020 ГОДА</t>
  </si>
  <si>
    <t>Хабриева Т.Я., Андриченко Л.В., Нанба С.Б. и др.</t>
  </si>
  <si>
    <t>978-5-16-017252-1</t>
  </si>
  <si>
    <t>40.05.04, 40.02.01, 40.02.02, 40.03.01, 40.04.01, 40.05.01, 40.05.02, 40.05.03, 40.06.01, 38.03.04, 40.02.03, 00.03.40</t>
  </si>
  <si>
    <t>632528.06.01</t>
  </si>
  <si>
    <t>Коммент. к Конституции РФ для студент... / М.Б.Смоленский - М.:ИЦ РИОР,НИЦ ИНФРА-М,2023-254с.(О,к/ф)</t>
  </si>
  <si>
    <t>КОММЕНТАРИЙ К КОНСТИТУЦИИ РОССИЙСКОЙ ФЕДЕРАЦИИ ДЛЯ СТУДЕНТОВ И ШКОЛЬНИКОВ (ПОСТАТЕЙНЫЙ), ИЗД.2</t>
  </si>
  <si>
    <t>Смоленский М.Б.</t>
  </si>
  <si>
    <t>978-5-369-01897-2</t>
  </si>
  <si>
    <t>40.00.00, 40.03.01, 44.03.05</t>
  </si>
  <si>
    <t>Ростовский государственный экономический университет (РИНХ)</t>
  </si>
  <si>
    <t>632528.04.01</t>
  </si>
  <si>
    <t>Коммент. к Конституции РФ для студент... / М.Б.Смоленский -М.:ИЦ РИОР,НИЦ ИНФРА-М,2019-230с.(О,к/ф)</t>
  </si>
  <si>
    <t>КОММЕНТАРИЙ К КОНСТИТУЦИИ РОССИЙСКОЙ ФЕДЕРАЦИИ ДЛЯ СТУДЕНТОВ И ШКОЛЬНИКОВ (ПОСТАТЕЙНЫЙ)</t>
  </si>
  <si>
    <t>978-5-369-01561-2</t>
  </si>
  <si>
    <t>667067.03.01</t>
  </si>
  <si>
    <t>Коммент. к практике Верх. Суда РФ по налог. спорам за 2014-2018 гг./ М.В.Юзвак - 2 изд.-М.:ИЦ РИОР, НИЦ ИНФРА-М,2020-200с(О)</t>
  </si>
  <si>
    <t>КОММЕНТАРИЙ К ПРАКТИКЕ ВЕРХОВНОГО СУДА РФ ПО НАЛОГОВЫМ СПОРАМ ЗА 2014-2018 ГГ. (С УЧЕТОМ ПРАКТИКИ 2019 ГОДА), ИЗД.2</t>
  </si>
  <si>
    <t>Юзвак М.В.</t>
  </si>
  <si>
    <t>978-5-369-01829-3</t>
  </si>
  <si>
    <t>40.03.01, 40.04.01, 38.04.01, 38.04.02, 38.06.01, 40.06.01, 38.03.01, 38.03.02</t>
  </si>
  <si>
    <t>667067.01.01</t>
  </si>
  <si>
    <t>Коммент. к практике Верх.Суда РФ по налог.спорам за 2014-2016 гг. / М.В.Юзвак-М.:ИЦ РИОР,НИЦ ИНФРА-М,2018-94с(О)</t>
  </si>
  <si>
    <t>КОММЕНТАРИЙ К ПРАКТИКЕ ВЕРХОВНОГО СУДА РФ ПО НАЛОГОВЫМ СПОРАМ ЗА 2014 - 2016 Г. (С УЧЕТОМ ПРАКТИКИ 2017 ГОДА)</t>
  </si>
  <si>
    <t>978-5-369-01733-3</t>
  </si>
  <si>
    <t>078300.15.01</t>
  </si>
  <si>
    <t>Коммент. к Трудовому кодексу РФ (пост.) / Г.С.Скачкова, - 12 изд.-М.:ИЦ РИОР, НИЦ ИНФРА-М,2022.-686 с.(О)</t>
  </si>
  <si>
    <t>КОММЕНТАРИЙ К ТРУДОВОМУ КОДЕКСУ РОССИЙСКОЙ ФЕДЕРАЦИИ (ПОСТАТЕЙНЫЙ), ИЗД.12</t>
  </si>
  <si>
    <t>Скачкова Г.С.</t>
  </si>
  <si>
    <t>978-5-369-01911-5</t>
  </si>
  <si>
    <t>40.02.01, 40.02.02, 46.03.02, 40.03.01, 40.04.01, 38.03.01, 38.03.04, 38.03.03, 44.03.05, 41.03.06</t>
  </si>
  <si>
    <t>1222</t>
  </si>
  <si>
    <t>078300.18.01</t>
  </si>
  <si>
    <t>Коммент. к Трудовому кодексу РФ (пост.)/ Г.С.Скачкова, - 13 изд.-М.:ИЦ РИОР, НИЦ ИНФРА-М,2023.-749 с.(о)</t>
  </si>
  <si>
    <t>КОММЕНТАРИЙ К ТРУДОВОМУ КОДЕКСУ РОССИЙСКОЙ ФЕДЕРАЦИИ (ПОСТАТЕЙНЫЙ), ИЗД.13</t>
  </si>
  <si>
    <t>978-5-369-01930-6</t>
  </si>
  <si>
    <t>1323</t>
  </si>
  <si>
    <t>078300.13.01</t>
  </si>
  <si>
    <t>Коммент. к Трудовому кодексу РФ (пост.): коммент. / Г.С.Скачкова, - 10 изд.-М.:ИЦ РИОР, НИЦ ИНФРА-М,2020.-580 с.(О)</t>
  </si>
  <si>
    <t>КОММЕНТАРИЙ К ТРУДОВОМУ КОДЕКСУ РОССИЙСКОЙ ФЕДЕРАЦИИ (ПОСТАТЕЙНЫЙ), ИЗД.10</t>
  </si>
  <si>
    <t>978-5-369-01847-7</t>
  </si>
  <si>
    <t>1020</t>
  </si>
  <si>
    <t>078300.14.01</t>
  </si>
  <si>
    <t>Коммент. к Трудовому кодексу РФ (пост.): коммент. / Г.С.Скачкова, - 11 изд.-М.:ИЦ РИОР, НИЦ ИНФРА-М,2021.-605 с.(О)</t>
  </si>
  <si>
    <t>КОММЕНТАРИЙ К ТРУДОВОМУ КОДЕКСУ РОССИЙСКОЙ ФЕДЕРАЦИИ (ПОСТАТЕЙНЫЙ), ИЗД.11</t>
  </si>
  <si>
    <t>978-5-369-01866-8</t>
  </si>
  <si>
    <t>1121</t>
  </si>
  <si>
    <t>078300.11.01</t>
  </si>
  <si>
    <t>Коммент. к Трудовому кодексу РФ (постат.) / Г.С.Скачкова - 9 изд.-М.:ИЦ РИОР, НИЦ ИНФРА-М,2019-566с(О)</t>
  </si>
  <si>
    <t>КОММЕНТАРИЙ К ТРУДОВОМУ КОДЕКСУ РОССИЙСКОЙ ФЕДЕРАЦИИ (ПОСТАТЕЙНЫЙ), ИЗД.9</t>
  </si>
  <si>
    <t>978-5-369-01799-9</t>
  </si>
  <si>
    <t>0919</t>
  </si>
  <si>
    <t>078300.08.01</t>
  </si>
  <si>
    <t>Коммент. к Трудовому кодексу РФ(постат.) /Г.С.Скачкова -7 изд. - М.:ИЦ РИОР,НИЦ ИНФРА-М,2017-538с(О)</t>
  </si>
  <si>
    <t>КОММЕНТАРИЙ К ТРУДОВОМУ КОДЕКСУ РОССИЙСКОЙ ФЕДЕРАЦИИ (ПОСТАТЕЙНЫЙ), ИЗД.7</t>
  </si>
  <si>
    <t>978-5-369-01633-6</t>
  </si>
  <si>
    <t>0717</t>
  </si>
  <si>
    <t>078300.09.01</t>
  </si>
  <si>
    <t>Коммент. к Трудовому кодексу РФ(постат.) /Г.С.Скачкова -8 изд. - М.:ИЦ РИОР,НИЦ ИНФРА-М,2018-538с(О)</t>
  </si>
  <si>
    <t>КОММЕНТАРИЙ К ТРУДОВОМУ КОДЕКСУ РОССИЙСКОЙ ФЕДЕРАЦИИ (ПОСТАТЕЙНЫЙ), ИЗД.8</t>
  </si>
  <si>
    <t>978-5-369-01777-7</t>
  </si>
  <si>
    <t>0818</t>
  </si>
  <si>
    <t>104450.05.01</t>
  </si>
  <si>
    <t>Коммент. к ФЗ "Об исполнительном производстве" / Под ред. В.В. Яркова. - НОРМА, 2024. - 752 с.(П)</t>
  </si>
  <si>
    <t>КОММЕНТАРИЙ К ФЕДЕРАЛЬНОМУ ЗАКОНУ "ОБ ИСПОЛНИТЕЛЬНОМ ПРОИЗВОДСТВЕ", ИЗД.3</t>
  </si>
  <si>
    <t>Абушенко Д.Б., Зипунникова Ю.Н., Загайнова С.К. и др.</t>
  </si>
  <si>
    <t>978-5-00156-241-2</t>
  </si>
  <si>
    <t>40.05.04, 40.03.01, 40.04.01, 37.05.02, 40.05.01, 40.05.02</t>
  </si>
  <si>
    <t>0322</t>
  </si>
  <si>
    <t>130200.06.01</t>
  </si>
  <si>
    <t>Коммент. к ФЗ "Об общих принципах орг... / Под ред.Бабичева И.В.- 3 изд - Юр.Норма,НИЦ ИНФРА-М,2024-752с(П)</t>
  </si>
  <si>
    <t>КОММЕНТАРИЙ К ФЕДЕРАЛЬНОМУ ЗАКОНУ "ОБ ОБЩИХ ПРИНЦИПАХ ОРГАНИЗАЦИИ МЕСТНОГО САМОУПРАВЛЕНИЯ В РОССИЙСКОЙ ФЕДЕРАЦИИ", ИЗД.3</t>
  </si>
  <si>
    <t>Бабичев И. В., Шугрина Е. С.</t>
  </si>
  <si>
    <t>978-5-00156-166-8</t>
  </si>
  <si>
    <t>0321</t>
  </si>
  <si>
    <t>130200.03.01</t>
  </si>
  <si>
    <t>Коммент. к ФЗ "Об общих принципах орг... / Под ред.Бабичева И.В.-2изд-Юр.Норма,НИЦ ИНФРА-М,2015-672с</t>
  </si>
  <si>
    <t>КОММЕНТАРИЙ К ФЕДЕРАЛЬНОМУ ЗАКОНУ "ОБ ОБЩИХ ПРИНЦИПАХ ОРГАНИЗАЦИИ МЕСТНОГО САМОУПРАВЛЕНИЯ В РОССИЙСКОЙ ФЕДЕРАЦИИ", ИЗД.2</t>
  </si>
  <si>
    <t>978-5-91768-633-2</t>
  </si>
  <si>
    <t>0215</t>
  </si>
  <si>
    <t>768618.06.01</t>
  </si>
  <si>
    <t>Коммент. к ФЗ "Об оперативно-розыск. деят." / Овчинский В.С. - М.:Юр.Норма, НИЦ ИНФРА-М,2023.-488 с.(П)</t>
  </si>
  <si>
    <t>КОММЕНТАРИЙ К ФЕДЕРАЛЬНОМУ ЗАКОНУ "ОБ ОПЕРАТИВНО-РОЗЫСКНОЙ ДЕЯТЕЛЬНОСТИ"</t>
  </si>
  <si>
    <t>Овчинский В.С., Вагин О.А., Гаврилов Б.Я. и др.</t>
  </si>
  <si>
    <t>978-5-00156-213-9</t>
  </si>
  <si>
    <t>40.02.02, 40.03.01, 40.04.01, 40.05.01, 40.05.02, 40.05.03</t>
  </si>
  <si>
    <t>482450.02.01</t>
  </si>
  <si>
    <t>Коммент. к ФЗ "Устав а/м трансп. и гор. назем. электр. трансп."/В.А.Егиазаров-Контракт, 2017-76с(О)</t>
  </si>
  <si>
    <t>КОММЕНТАРИЙ К ФЕДЕРАЛЬНОМУ ЗАКОНУ "УСТАВ АВТОМОБИЛЬНОГО ТРАНСПОРТА И ГОРОДСКОГО НАЗЕМНОГО ЭЛЕКТРИЧЕСКОГО ТРАНСПОРТА"</t>
  </si>
  <si>
    <t>Егиазаров В.А.</t>
  </si>
  <si>
    <t>Контракт</t>
  </si>
  <si>
    <t>978-5-98209-164-2</t>
  </si>
  <si>
    <t>679405.02.01</t>
  </si>
  <si>
    <t>Коммент. к ФЗ от 01.05.2016 № 119-ФЗ «Об особ.. / Е.А.Галиновская-М.:НИЦ ИНФРА-М, ИЗиСП,2019-120с(О)</t>
  </si>
  <si>
    <t>КОММЕНТАРИЙ К ФЕДЕРАЛЬНОМУ ЗАКОНУ ОТ 01.05.2016 № 119-ФЗ «ОБ ОСОБЕННОСТЯХ ПРЕДОСТАВЛЕНИЯ ГРАЖДАНАМ ЗЕМЕЛЬНЫХ УЧАСТКОВ,НАХОДЯЩИХСЯ В ГОСУДАРСТВЕННОЙ ИЛИ МУНИЦИПАЛЬНОЙ СОБСТВЕННОСТИ И РАСПОЛОЖЕННЫХ НА ТЕРРИТОРИЯХ СУБЪЕКТОВ РОССИЙСКОЙ ФЕДЕРАЦИИ,ВХОДЯЩИХ В СОСТАВ ДАЛЬНЕВОСТОЧНОГО ФЕДЕРАЛЬНОГО ОКРУГА,</t>
  </si>
  <si>
    <t>Галиновская Е.А., Жариков Ю.Г., Ковалева Е.Л. и др.</t>
  </si>
  <si>
    <t>978-5-16-013701-8</t>
  </si>
  <si>
    <t>656575.04.01</t>
  </si>
  <si>
    <t>Коммент. практики рассмотрения экон.споров (судебно-арбитр.практики): Вып.22 / А.В.Алтухов-М.:НИЦ ИНФРА-М,2021-212c(О)</t>
  </si>
  <si>
    <t>КОММЕНТАРИЙ ПРАКТИКИ РАССМОТРЕНИЯ ЭКОНОМИЧЕСКИХ СПОРОВ (СУДЕБНО-АРБИТРАЖНОЙ ПРАКТИКИ). ВЫП. 22</t>
  </si>
  <si>
    <t>Алтухов А.В., Беляева О.А., Бортникова Н.А. и др.</t>
  </si>
  <si>
    <t>978-5-16-012786-6</t>
  </si>
  <si>
    <t>645646.03.01</t>
  </si>
  <si>
    <t>Коммент.к ФЗ от 19.07.11г.№246-ФЗ "Об искус.земел.участках../ Е.А.Галиновская-М.:ИНФРА-М,2018-96(О)</t>
  </si>
  <si>
    <t>КОММЕНТАРИЙ К ФЕДЕРАЛЬНОМУ ЗАКОНУ ОТ 19 ИЮЛЯ 2011 ГОДА №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РОССИЙСКОЙ ФЕДЕРАЦИИ" (ПОСТАТЕЙНЫЙ)</t>
  </si>
  <si>
    <t>Галиновская Е.А., Кичигин Н.В., Минина Е.Л. и др.</t>
  </si>
  <si>
    <t>978-5-16-012419-3</t>
  </si>
  <si>
    <t>40.03.01, 06.03.02, 20.03.02</t>
  </si>
  <si>
    <t>136800.08.01</t>
  </si>
  <si>
    <t>Коммерциализация интеллектуальной собств.: Моногр. /В.И.Мухопад -М.:Магистр,НИЦ ИНФРА-М,2019-512с(П)</t>
  </si>
  <si>
    <t>КОММЕРЦИАЛИЗАЦИЯ ИНТЕЛЛЕКТУАЛЬНОЙ СОБСТВЕННОСТИ</t>
  </si>
  <si>
    <t>Мухопад В. И.</t>
  </si>
  <si>
    <t>978-5-9776-0169-6</t>
  </si>
  <si>
    <t>40.03.01, 40.04.01, 38.04.06, 15.04.01, 26.04.01, 23.04.03, 23.04.01, 15.04.04, 29.04.02, 29.04.01, 29.04.03, 38.03.06</t>
  </si>
  <si>
    <t>0110</t>
  </si>
  <si>
    <t>072160.04.01</t>
  </si>
  <si>
    <t>Коммерческое право: Шпаргалка - М.:ИЦ РИОР, НИЦ ИНФРА-М,2018-160 с.-(Шпаргалка [отр.])(О)</t>
  </si>
  <si>
    <t>КОММЕРЧЕСКОЕ ПРАВО</t>
  </si>
  <si>
    <t>978-5-369-00699-3</t>
  </si>
  <si>
    <t>777573.01.01</t>
  </si>
  <si>
    <t>Комплексный подход к изучению природы и целей гос.: Моногр. / А.Г.Чернявский-М.:НИЦ ИНФРА-М,2022.-409 с.(П)</t>
  </si>
  <si>
    <t>КОМПЛЕКСНЫЙ ПОДХОД К ИЗУЧЕНИЮ ПРИРОДЫ И ЦЕЛЕЙ ГОСУДАРСТВА: ПОЛИТИКО-ПРАВОВОЕ ИССЛЕДОВАНИЕ</t>
  </si>
  <si>
    <t>978-5-16-017687-1</t>
  </si>
  <si>
    <t>40.05.04, 41.03.04, 40.03.01, 40.04.01, 40.05.01, 40.05.02, 40.05.03, 38.05.01, 40.06.01</t>
  </si>
  <si>
    <t>153250.06.01</t>
  </si>
  <si>
    <t>Конвергенция частного и публич. права: пробл. теор. и...: Моногр./Н.М.Коршунов -М.:Норма, 2020-240с. (П)</t>
  </si>
  <si>
    <t>КОНВЕРГЕНЦИЯ ЧАСТНОГО И ПУБЛИЧНОГО ПРАВА: ПРОБЛЕМЫ ТЕОРИИ И ПРАКТИКИ</t>
  </si>
  <si>
    <t>Коршунов Н. М.</t>
  </si>
  <si>
    <t>978-5-91768-177-1</t>
  </si>
  <si>
    <t>Национальный исследовательский Московский государственный строительный университет</t>
  </si>
  <si>
    <t>670769.06.01</t>
  </si>
  <si>
    <t>Конкурентное право: глоссарий понятий / П.В.Самолысов-М.:Юр.Норма, НИЦ ИНФРА-М,2022.-144 с.(О)</t>
  </si>
  <si>
    <t>КОНКУРЕНТНОЕ ПРАВО: ГЛОССАРИЙ ПОНЯТИЙ</t>
  </si>
  <si>
    <t>Самолысов П.В.</t>
  </si>
  <si>
    <t>978-5-91768-875-6</t>
  </si>
  <si>
    <t>Словарь</t>
  </si>
  <si>
    <t>771349.01.01</t>
  </si>
  <si>
    <t>Конкуренция юрисдикций международных судебных орг...: Моногр. / Е.С.Орлова-М.:НИЦ ИНФРА-М,2022.-175с</t>
  </si>
  <si>
    <t>КОНКУРЕНЦИЯ ЮРИСДИКЦИЙ МЕЖДУНАРОДНЫХ СУДЕБНЫХ ОРГАНОВ ПРИ РАССМОТРЕНИИ МЕЖДУНАРОДНЫХ МОРСКИХ СПОРОВ</t>
  </si>
  <si>
    <t>Орлова Е.С.</t>
  </si>
  <si>
    <t>978-5-16-017548-5</t>
  </si>
  <si>
    <t>40.03.01, 40.04.01, 26.05.05, 40.06.01</t>
  </si>
  <si>
    <t>454300.06.01</t>
  </si>
  <si>
    <t>Конституционализация права: основы теории: Моногр. / В.И.Крусс - М.:Юр.Норма, НИЦ ИНФРА-М,2021-240с(О)</t>
  </si>
  <si>
    <t>КОНСТИТУЦИОНАЛИЗАЦИЯ ПРАВА: ОСНОВЫ ТЕОРИИ</t>
  </si>
  <si>
    <t>978-5-91768-681-3</t>
  </si>
  <si>
    <t>795336.01.01</t>
  </si>
  <si>
    <t>Конституционализация рос. права в учении... / В.В.Комарова-М.:Юр. НОРМА, НИЦ ИНФРА-М,2023.-368 с.(п)</t>
  </si>
  <si>
    <t>КОНСТИТУЦИОНАЛИЗАЦИЯ РОССИЙСКОГО ПРАВА В УЧЕНИИ АКАДЕМИКА О. Е. КУТАФИНА</t>
  </si>
  <si>
    <t>Комарова В.В., Садовникова Г.Д., Нарутто С.В. и др.</t>
  </si>
  <si>
    <t>978-5-00156-281-8</t>
  </si>
  <si>
    <t>40.05.04, 40.04.01, 40.05.01, 40.05.02, 44.05.01, 40.05.03, 38.05.01, 40.06.01</t>
  </si>
  <si>
    <t>657390.03.01</t>
  </si>
  <si>
    <t>Конституционализация фиксально-эконом.обяз.в РФ:Моногр./В.И.Крусс-М.:Юр.Норма,НИЦ ИНФРА-М,2020-304с.(П)</t>
  </si>
  <si>
    <t>КОНСТИТУЦИОНАЛИЗАЦИЯ ФИКСАЛЬНО-ЭКОНОМИЧЕСКИХ ОБЯЗАННОСТЕЙ В РФ</t>
  </si>
  <si>
    <t>978-5-91768-840-4</t>
  </si>
  <si>
    <t>38.04.01, 38.04.04, 38.03.04</t>
  </si>
  <si>
    <t>404650.04.01</t>
  </si>
  <si>
    <t>Конституционализм: проблемы постсовет.реал.: Моногр./А.А.Арутюнян-М.:Юр.Норма, НИЦ ИНФРА-М,2019-160с</t>
  </si>
  <si>
    <t>КОНСТИТУЦИОНАЛИЗМ: ПРОБЛЕМЫ ПОСТСОВЕТСКОЙ РЕАЛЬНОСТИ</t>
  </si>
  <si>
    <t>Арутюнян А.А.</t>
  </si>
  <si>
    <t>978-5-91768-330-0</t>
  </si>
  <si>
    <t>295200.06.01</t>
  </si>
  <si>
    <t>Конституционная ответственность в РФ: Моногр. / П.П.Серков-М.:Юр.Норма, НИЦ ИНФРА-М,2020.-448 с.(П)</t>
  </si>
  <si>
    <t>КОНСТИТУЦИОННАЯ ОТВЕТСТВЕННОСТЬ В РФ</t>
  </si>
  <si>
    <t>Серков П. П.</t>
  </si>
  <si>
    <t>978-5-91768-525-0</t>
  </si>
  <si>
    <t>647233.08.01</t>
  </si>
  <si>
    <t>Конституционная реформа в современном мире: Моногр. / Т.Я.Хабриева-М.:НИЦ ИНФРА-М,2023-308с.(П)</t>
  </si>
  <si>
    <t>КОНСТИТУЦИОННАЯ РЕФОРМА В СОВРЕМЕННОМ МИРЕ</t>
  </si>
  <si>
    <t>978-5-16-012044-7</t>
  </si>
  <si>
    <t>246900.08.01</t>
  </si>
  <si>
    <t>Конституционная терминология: Моногр. / В.Е.Чиркин - М.:Юр.Норма,НИЦ ИНФРА-М,2022 - 272с.(п)</t>
  </si>
  <si>
    <t>КОНСТИТУЦИОННАЯ ТЕРМИНОЛОГИЯ</t>
  </si>
  <si>
    <t>978-5-91768-439-0</t>
  </si>
  <si>
    <t>720670.02.01</t>
  </si>
  <si>
    <t>Конституционная юстиция в странах Восточной Европы...: Моногр. / Я.Залесны-М.:Юр.Норма,2023.-672 с.(П)</t>
  </si>
  <si>
    <t>КОНСТИТУЦИОННАЯ ЮСТИЦИЯ В СТРАНАХ ВОСТОЧНОЙ ЕВРОПЫ: ПРОБЛЕМЫ ТЕОРИИ И ПРАКТИКИ</t>
  </si>
  <si>
    <t>Залесны Я.</t>
  </si>
  <si>
    <t>978-5-00156-029-6</t>
  </si>
  <si>
    <t>40.03.01, 40.05.01, 40.05.02, 40.06.01</t>
  </si>
  <si>
    <t>764236.03.01</t>
  </si>
  <si>
    <t>Конституционное (гос.) право зарубеж. стран: Уч. / А.М.Осавелюк - М.:Юр.Норма, НИЦ ИНФРА-М,2023 - 432 с.(П)</t>
  </si>
  <si>
    <t>КОНСТИТУЦИОННОЕ (ГОСУДАРСТВЕННОЕ) ПРАВО ЗАРУБЕЖНЫХ СТРАН</t>
  </si>
  <si>
    <t>Осавелюк А.М., Невинский В.В., Кононов К.А. и др.</t>
  </si>
  <si>
    <t>978-5-00156-197-2</t>
  </si>
  <si>
    <t>053261.14.01</t>
  </si>
  <si>
    <t>Конституционное право зарубеж. стран: Уч.пос. / А.М.Арбузкин, - 3 изд.-М.:НОРМА, НИЦ ИНФРА-М,2024.-560 с.(п)</t>
  </si>
  <si>
    <t>КОНСТИТУЦИОННОЕ ПРАВО ЗАРУБЕЖНЫХ СТРАН, ИЗД.3</t>
  </si>
  <si>
    <t>Арбузкин А.М.</t>
  </si>
  <si>
    <t>055380.11.01</t>
  </si>
  <si>
    <t>Конституционное право зарубеж. стран: Уч.пос. / К.Д.Шестакова - 2 изд. - ИЦ РИОР:Инфра-М,2022 - 191с.(О)</t>
  </si>
  <si>
    <t>КОНСТИТУЦИОННОЕ ПРАВО ЗАРУБЕЖНЫХ СТРАН, ИЗД.2</t>
  </si>
  <si>
    <t>Шестакова К. Д.</t>
  </si>
  <si>
    <t>ВПО: Бакалавриат</t>
  </si>
  <si>
    <t>978-5-369-00644-3</t>
  </si>
  <si>
    <t>40.03.01, 40.04.01, 40.05.01, 40.05.02, 40.05.03, 38.03.04, 44.03.05</t>
  </si>
  <si>
    <t>0206</t>
  </si>
  <si>
    <t>809557.01.01</t>
  </si>
  <si>
    <t>Конституционное право зарубежных стран: Прак. / В.В.Комарова-М.:Юр. НОРМА, НИЦ ИНФРА-М,2024.-216 с.(п)</t>
  </si>
  <si>
    <t>КОНСТИТУЦИОННОЕ ПРАВО ЗАРУБЕЖНЫХ СТРАН</t>
  </si>
  <si>
    <t>Комарова В.В., Громова А.А., Джавакян Г.З. и др.</t>
  </si>
  <si>
    <t>978-5-00156-321-1</t>
  </si>
  <si>
    <t>Практикум</t>
  </si>
  <si>
    <t>40.05.04, 40.03.01, 41.04.04, 40.05.01, 40.05.02, 40.05.03</t>
  </si>
  <si>
    <t>086250.07.01</t>
  </si>
  <si>
    <t>Конституционное право зарубежных стран: Практикум / В.Е.Чиркин, - 2-е изд.,-М.:НОРМА,2017-368с.(О)</t>
  </si>
  <si>
    <t>Практикум: Для юридических вузов и факультетов</t>
  </si>
  <si>
    <t>978-5-468-00144-8</t>
  </si>
  <si>
    <t>005503.26.01</t>
  </si>
  <si>
    <t>Конституционное право зарубежных стран: Уч. / В.Е.Чиркин-9изд.-М.:Юр.Норма,НИЦ ИНФРА-М,2024-528с(П)</t>
  </si>
  <si>
    <t>КОНСТИТУЦИОННОЕ ПРАВО ЗАРУБЕЖНЫХ СТРАН, ИЗД.9</t>
  </si>
  <si>
    <t>978-5-91768-640-0</t>
  </si>
  <si>
    <t>Рекомендовано УМО по юридическому образованию высших учебных заведений в качестве учебника для студентов вузов, обучающихся по направлению "Юриспруденция" и специальности "Юриспруденция"</t>
  </si>
  <si>
    <t>019255.20.01</t>
  </si>
  <si>
    <t>Конституционное право зарубежных стран: Уч. / М.В.Баглай-4изд.-М.:Юр.Норма,НИЦ ИНФРА-М,2020-976с(П)</t>
  </si>
  <si>
    <t>КОНСТИТУЦИОННОЕ ПРАВО ЗАРУБЕЖНЫХ СТРАН, ИЗД.4</t>
  </si>
  <si>
    <t>Баглай М.В., Лейбо Ю.И., Энтин Л.М.</t>
  </si>
  <si>
    <t>978-5-91768-726-1</t>
  </si>
  <si>
    <t>0416</t>
  </si>
  <si>
    <t>418250.07.01</t>
  </si>
  <si>
    <t>Конституционное право зарубежных стран: Уч. / М.Н.Прудников -М.:ИЦ РИОР:НИЦ ИНФРА-М, 2024-374с.(ВО) (п)</t>
  </si>
  <si>
    <t>Прудников М. Н.</t>
  </si>
  <si>
    <t>978-5-369-01172-0</t>
  </si>
  <si>
    <t>Рекомендовано в качестве учебника для студентов высших учебных заведений, обучающихся по направлению •'Юриспруденция» (квалификация (степень) — бакалавр)</t>
  </si>
  <si>
    <t>019255.25.01</t>
  </si>
  <si>
    <t>Конституционное право зарубежных стран: Уч. /М.В.Баглай - 5 изд. - М.:Юр.Норма,НИЦ ИНФРА-М, 2024 - 864с(П)</t>
  </si>
  <si>
    <t>КОНСТИТУЦИОННОЕ ПРАВО ЗАРУБЕЖНЫХ СТРАН, ИЗД.5</t>
  </si>
  <si>
    <t>978-5-00156-182-8</t>
  </si>
  <si>
    <t>0522</t>
  </si>
  <si>
    <t>483450.03.01</t>
  </si>
  <si>
    <t>Конституционное право зарубежных стран: Уч. пос. / А.А. Тимошенкова-М.:ИЦ РИОР,НИЦ ИНФРА-М,2019-135с</t>
  </si>
  <si>
    <t>Тимошенкова А.А.</t>
  </si>
  <si>
    <t>978-5-369-01402-8</t>
  </si>
  <si>
    <t>Международный институт экономики и права</t>
  </si>
  <si>
    <t>069758.19.01</t>
  </si>
  <si>
    <t>Конституционное право России. Уч. курс: Уч. пос.: В 2 т.Т.2 /С.А.Авакьян - 7 изд.-Юр.Норма:ИНФРА-М,2023-936с.(П)</t>
  </si>
  <si>
    <t>КОНСТИТУЦИОННОЕ ПРАВО РОССИИ. УЧЕБНЫЙ КУРС : В 2 ТОМАХ., Т.2, ИЗД.7</t>
  </si>
  <si>
    <t>Авакьян С. А.</t>
  </si>
  <si>
    <t>978-5-00156-175-0</t>
  </si>
  <si>
    <t>40.05.04, 40.03.01, 40.04.01, 40.05.01, 40.05.02, 40.05.03, 38.03.04</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</si>
  <si>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521400 Юриспруденция и спец. 021100 Юриспруденция</t>
  </si>
  <si>
    <t>0721</t>
  </si>
  <si>
    <t>069758.13.01</t>
  </si>
  <si>
    <t>Конституционное право России. Уч. курс: Уч. пос.: Т.2 /С.А.Авакьян-6изд.-Юр.Норма:ИНФРА-М,2020-928с.(П)</t>
  </si>
  <si>
    <t>КОНСТИТУЦИОННОЕ ПРАВО РОССИИ. УЧЕБНЫЙ КУРС, Т.2, ИЗД.6</t>
  </si>
  <si>
    <t>978-5-91768-903-6</t>
  </si>
  <si>
    <t>069759.22.01</t>
  </si>
  <si>
    <t>Конституционное право России. Уч. курс: Уч.пос.: Т.1 / С.А.Авакьян   -7 изд.- Юр.Норма:ИНФРА-М,2024-864с(П)</t>
  </si>
  <si>
    <t>КОНСТИТУЦИОННОЕ ПРАВО РОССИИ. УЧЕБНЫЙ КУРС : В 2 ТОМАХ., Т.1, ИЗД.7</t>
  </si>
  <si>
    <t>978-5-00156-165-1</t>
  </si>
  <si>
    <t>40.05.04, 40.03.01, 40.04.01, 40.05.01, 40.05.02, 40.05.03, 38.03.04, 44.03.05</t>
  </si>
  <si>
    <t>Рекомендовано 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</si>
  <si>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069759.11.01</t>
  </si>
  <si>
    <t>Конституционное право России. Уч.курс: Уч.пос.: В 2 т.Т.1/С.А.Авакьян -5изд.-Норма:ИНФРА-М,2017-864с</t>
  </si>
  <si>
    <t>КОНСТИТУЦИОННОЕ ПРАВО РОССИИ. УЧЕБНЫЙ КУРС, Т.1, ИЗД.5</t>
  </si>
  <si>
    <t>Авакьян С.А.</t>
  </si>
  <si>
    <t>978-5-91768-484-0</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</si>
  <si>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</si>
  <si>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0514</t>
  </si>
  <si>
    <t>069758.10.01</t>
  </si>
  <si>
    <t>Конституционное право России. Уч.курс: Уч.пос.: В 2т.Т.2. /С.А.Авакьян-5изд.-Норма:ИНФРА-М,2018-912с</t>
  </si>
  <si>
    <t>КОНСТИТУЦИОННОЕ ПРАВО РОССИИ. УЧЕБНЫЙ КУРС, ИЗД.5</t>
  </si>
  <si>
    <t>978-5-91768-485-7</t>
  </si>
  <si>
    <t>069759.14.01</t>
  </si>
  <si>
    <t>Конституционное право России. Уч.курс: Уч.пос.: Т.1 /С.А.Авакьян-6 изд.-Юр.Норма:ИНФРА-М,2020-864с(П)</t>
  </si>
  <si>
    <t>КОНСТИТУЦИОННОЕ ПРАВО РОССИИ. УЧЕБНЫЙ КУРС, Т.1, ИЗД.6</t>
  </si>
  <si>
    <t>978-5-91768-902-9</t>
  </si>
  <si>
    <t>453700.03.01</t>
  </si>
  <si>
    <t>Конституционное право России: Уч. / В.А.Черепанов-2изд.-М.:Юр.Норма, НИЦ ИНФРА-М,2021.-424 с.(П)</t>
  </si>
  <si>
    <t>КОНСТИТУЦИОННОЕ ПРАВО РОССИИ, ИЗД.2</t>
  </si>
  <si>
    <t>Черепанов В.А.</t>
  </si>
  <si>
    <t>978-5-00156-062-3</t>
  </si>
  <si>
    <t>40.03.01, 40.05.01, 40.05.02, 40.05.03, 38.03.04, 44.03.05</t>
  </si>
  <si>
    <t>Рекомендовано Учебно-методическим объединением по юридическому образованию вузов Российской Федерации в качестве учебника по дисциплине «Конституционное право России» для студентов образовательных организаций, обучающихся по направлению подготовки «Государственное и муниципальное управление», квалификация (степень) «бакалавр»</t>
  </si>
  <si>
    <t>Ставропольский государственный аграрный университет</t>
  </si>
  <si>
    <t>345500.05.01</t>
  </si>
  <si>
    <t>Конституционное право России: Уч. / П.А.Астафичев, - 2-е изд.-М.:ИЦ РИОР, НИЦ ИНФРА-М,2023.-443 с.(ВО)(п)</t>
  </si>
  <si>
    <t>Астафичев П.А.</t>
  </si>
  <si>
    <t>978-5-369-01923-8</t>
  </si>
  <si>
    <t>40.03.01, 40.05.01, 40.05.02, 40.05.03, 44.03.05</t>
  </si>
  <si>
    <t>Орловский государственный университет им. И.С. Тургенева</t>
  </si>
  <si>
    <t>288900.09.01</t>
  </si>
  <si>
    <t>Конституционное право России: Уч. / С.В.Бендюрина - 2 изд. - М.:Юр.Норма, НИЦ ИНФРА-М,2023-496 с.(П)</t>
  </si>
  <si>
    <t>Бендюрина С. В., Гончаров М. В., Евстифеев Д. М., Кокотов А. Н., Саликов М. С.</t>
  </si>
  <si>
    <t>978-5-00156-198-9</t>
  </si>
  <si>
    <t>40.02.01, 40.02.02, 40.03.01, 40.05.01, 40.05.02, 40.05.03, 38.03.04, 44.03.05</t>
  </si>
  <si>
    <t>Допущено Учебно-методическим объединением по юридическому образованию вузов Российской Федерации в качестве учебника длястудентов высших учебных заведений, обучающихсяпо направлению подготовки 030900 «Юриспруденция», квалификация«бакалавр»</t>
  </si>
  <si>
    <t>757948.02.01</t>
  </si>
  <si>
    <t>Конституционное право России: Уч. / С.В.Нарутто - М.:ИЦ РИОР, НИЦ ИНФРА-М,2022 - 487 с.-(ВО)(П)</t>
  </si>
  <si>
    <t>КОНСТИТУЦИОННОЕ ПРАВО РОССИИ</t>
  </si>
  <si>
    <t>Нарутто С.В., Таева Н.Е.</t>
  </si>
  <si>
    <t>978-5-369-01873-6</t>
  </si>
  <si>
    <t>757948.04.01</t>
  </si>
  <si>
    <t>Конституционное право России: Уч. / С.В.Нарутто, - 2 изд.-М.:ИЦ РИОР, НИЦ ИНФРА-М,2023.-491 с.(ВО)</t>
  </si>
  <si>
    <t>978-5-369-01921-4</t>
  </si>
  <si>
    <t>775474.02.01</t>
  </si>
  <si>
    <t>Конституционное право России: Уч. для СПО / М.С.Саликов - М.:Юр. НОРМА, НИЦ ИНФРА-М,2022 - 496 с.(П)</t>
  </si>
  <si>
    <t>Саликов М.С., Кокотов А.Н., Несмеянова С.Э. и др.</t>
  </si>
  <si>
    <t>978-5-00156-238-2</t>
  </si>
  <si>
    <t>Общее образование / Среднее общее образование</t>
  </si>
  <si>
    <t>288900.04.01</t>
  </si>
  <si>
    <t>Конституционное право России: Уч./Отв.ред.А.Н.Кокотов,М.С.Саликов-М.:Юр.Норма,НИЦ ИНФРА-М,2018-448с(п)</t>
  </si>
  <si>
    <t>978-5-91768-510-6</t>
  </si>
  <si>
    <t>453700.02.01</t>
  </si>
  <si>
    <t>Конституционное право России: Уч.для бакалавров /В.А.Черепанов-М.:Юр.Норма,НИЦ ИНФРА-М,2016-368с.(п)</t>
  </si>
  <si>
    <t>978-5-91768-676-9</t>
  </si>
  <si>
    <t>345500.03.01</t>
  </si>
  <si>
    <t>Конституционное право России:Уч./П.А.Астафичев- М.:ИЦ РИОР, НИЦ ИНФРА-М, 2020-390с(ВО: Бакалавр.)(п)</t>
  </si>
  <si>
    <t>978-5-369-01449-3</t>
  </si>
  <si>
    <t>667426.02.01</t>
  </si>
  <si>
    <t>Конституционное право РФ: Практикум / Д.Н.Лукоянов - М.:ИЦ РИОР,НИЦ ИНФРА-М,2019 - 84 с.(О)</t>
  </si>
  <si>
    <t>КОНСТИТУЦИОННОЕ ПРАВО РОССИЙСКОЙ ФЕДЕРАЦИИ</t>
  </si>
  <si>
    <t>Лукоянов Д.Н.</t>
  </si>
  <si>
    <t>978-5-369-01735-7</t>
  </si>
  <si>
    <t>40.05.04, 40.02.01, 40.02.02, 40.03.01, 40.05.01, 40.05.02, 40.05.03, 38.03.04, 44.03.05, 40.02.03</t>
  </si>
  <si>
    <t>Костромской государственный университет</t>
  </si>
  <si>
    <t>001074.32.01</t>
  </si>
  <si>
    <t>Конституционное право РФ: Уч. / М.В.Баглай -14 изд. -М.:Юр.Норма, НИЦ ИНФРА-М,2023 - 704с.(П)</t>
  </si>
  <si>
    <t>КОНСТИТУЦИОННОЕ ПРАВО РОССИЙСКОЙ ФЕДЕРАЦИИ, ИЗД.14</t>
  </si>
  <si>
    <t>Баглай М.В.</t>
  </si>
  <si>
    <t>978-5-00156-272-6</t>
  </si>
  <si>
    <t>1422</t>
  </si>
  <si>
    <t>404200.07.01</t>
  </si>
  <si>
    <t>Конституционное право. Общая теор. гос.: Моногр./ Л. Дюги. - М.: НИЦ ИНФРА-М,2023-427с.(Науч. мысль) (п)</t>
  </si>
  <si>
    <t>КОНСТИТУЦИОННОЕ ПРАВО. ОБЩАЯ ТЕОРИЯ ГОСУДАРСТВА</t>
  </si>
  <si>
    <t>Дюги Л.</t>
  </si>
  <si>
    <t>978-5-16-006120-7</t>
  </si>
  <si>
    <t>770521.01.01</t>
  </si>
  <si>
    <t>Конституционное право: Уч. / С.В.Нарутто - М.:ИЦ РИОР, НИЦ ИНФРА-М,2022 - 398 с.-(СПО)(П)</t>
  </si>
  <si>
    <t>КОНСТИТУЦИОННОЕ ПРАВО</t>
  </si>
  <si>
    <t>978-5-369-01890-3</t>
  </si>
  <si>
    <t>770521.02.01</t>
  </si>
  <si>
    <t>Конституционное право: Уч. / С.В.Нарутто, - 2-е изд.-М.:ИЦ РИОР, НИЦ ИНФРА-М,2024.-402 с.(СПО)(п)</t>
  </si>
  <si>
    <t>КОНСТИТУЦИОННОЕ ПРАВО, ИЗД.2</t>
  </si>
  <si>
    <t>978-5-369-01941-2</t>
  </si>
  <si>
    <t>771234.01.01</t>
  </si>
  <si>
    <t>Конституционное правообразование в РФ: Моногр. / Д.С.Дерхо-М.:НИЦ ИНФРА-М,2022.-197 с.(Науч.мысль)(П)</t>
  </si>
  <si>
    <t>КОНСТИТУЦИОННОЕ ПРАВООБРАЗОВАНИЕ В РОССИЙСКОЙ ФЕДЕРАЦИИ</t>
  </si>
  <si>
    <t>Дерхо Д.С.</t>
  </si>
  <si>
    <t>978-5-16-017516-4</t>
  </si>
  <si>
    <t>40.05.04, 40.03.01, 40.05.01, 40.05.02, 40.05.03, 38.05.01, 40.06.01</t>
  </si>
  <si>
    <t>Арбитражный суд Западно-Сибирского округа</t>
  </si>
  <si>
    <t>084150.10.01</t>
  </si>
  <si>
    <t>Конституционное развит.в совр. мире. Осн. тенденции: Моногр. /Р.В.Енгибарян - М.:НОРМА, 2024-496с(п)</t>
  </si>
  <si>
    <t>КОНСТИТУЦИОННОЕ РАЗВИТИЕ В СОВРЕМЕННОМ МИРЕ. ОСНОВНЫЕ ТЕНДЕНЦИИ</t>
  </si>
  <si>
    <t>Енгибарян Р.В.</t>
  </si>
  <si>
    <t>978-5-91768-748-3</t>
  </si>
  <si>
    <t>444300.06.01</t>
  </si>
  <si>
    <t>Конституционно-прав. основы взаим. общ. объед....: Моногр./Васильев С.А.-2изд.-М.: Вуз.уч.,НИЦ ИНФРА-М,2024-116с.(о)</t>
  </si>
  <si>
    <t>КОНСТИТУЦИОННО-ПРАВОВЫЕ ОСНОВЫ ВЗАИМОДЕЙСТВИЯ ОБЩЕСТВЕННЫХ ОБЪЕДИНЕНИЙ С ПРАВООХРАНИТЕЛЬНЫМИ ОРГАНАМИ РОССИИ В СФЕРЕ ЗАЩИТЫ ПРАВ И СВОБОД ЧЕЛОВЕКА И ГРАЖДАНИНА, ИЗД.2</t>
  </si>
  <si>
    <t>Васильев С.А.</t>
  </si>
  <si>
    <t>978-5-9558-0469-9</t>
  </si>
  <si>
    <t>446800.06.01</t>
  </si>
  <si>
    <t>Конституционно-прав. статус орг.законод...: Уч./Г.Д.Садовников-М.:Юр.Норма,НИЦ ИНФРА-М,2021-128с.(о)</t>
  </si>
  <si>
    <t>КОНСТИТУЦИОННО-ПРАВОВОЙ СТАТУС ОРГАНОВ ЗАКОНОДАТЕЛЬНОЙ И ИСПОЛНИТЕЛЬНОЙ ВЛАСТИ СУБЪЕКТОВ РФ</t>
  </si>
  <si>
    <t>Садовникова Г.Д., Заболотских Е.М., Михайлова М.В. и др.</t>
  </si>
  <si>
    <t>978-5-91768-671-4</t>
  </si>
  <si>
    <t>40.05.04, 40.03.01, 40.04.01, 38.04.04, 40.05.01, 40.05.02, 40.05.03, 40.06.01, 44.03.05</t>
  </si>
  <si>
    <t>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</si>
  <si>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675038.03.01</t>
  </si>
  <si>
    <t>Конституционно-правовая полит.совр. России:Моногр. /Баранов П.П.-М.:ИЦ РИОР,НИЦ ИНФРА-М,2020-248с(О)</t>
  </si>
  <si>
    <t>КОНСТИТУЦИОННО-ПРАВОВАЯ ПОЛИТИКА СОВРЕМЕННОЙ РОССИИ</t>
  </si>
  <si>
    <t>Баранов П.П., Овчинников А.И., Мамычев А.Ю.</t>
  </si>
  <si>
    <t>978-5-369-01747-0</t>
  </si>
  <si>
    <t>40.02.01, 40.02.02, 40.03.01, 38.04.04, 40.05.01, 40.05.02, 40.05.03, 38.03.04, 44.03.05, 40.02.03</t>
  </si>
  <si>
    <t>Российская академия народного хозяйства и государственной службы при Президенте РФ, ф-л Южно-Российский институт управления</t>
  </si>
  <si>
    <t>682536.06.01</t>
  </si>
  <si>
    <t>Конституционно-правовое обеспеч. нац. без. РФ: Уч. / Ю.Г.Федотова, - 2 изд.-М.:НИЦ ИНФРА-М,2023.- 396с.(П)</t>
  </si>
  <si>
    <t>КОНСТИТУЦИОННО-ПРАВОВОЕ ОБЕСПЕЧЕНИЕ НАЦИОНАЛЬНОЙ БЕЗОПАСНОСТИ РОССИЙСКОЙ ФЕДЕРАЦИИ, ИЗД.2</t>
  </si>
  <si>
    <t>978-5-16-017664-2</t>
  </si>
  <si>
    <t>40.05.04, 40.05.01, 40.05.02, 40.05.03, 38.05.01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</si>
  <si>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2 от 09.02.2022)</t>
  </si>
  <si>
    <t>682536.02.01</t>
  </si>
  <si>
    <t>Конституционно-правовое обеспеч. нац. безопас. РФ: Уч.пос. / Ю.Г.Федотова-М.:НИЦ ИНФРА-М,2021.-363с(П)</t>
  </si>
  <si>
    <t>КОНСТИТУЦИОННО-ПРАВОВОЕ ОБЕСПЕЧЕНИЕ НАЦИОНАЛЬНОЙ БЕЗОПАСНОСТИ РОССИЙСКОЙ ФЕДЕРАЦИИ</t>
  </si>
  <si>
    <t>978-5-16-014465-8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</si>
  <si>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18 от 25.11.2019)</t>
  </si>
  <si>
    <t>148000.05.01</t>
  </si>
  <si>
    <t>Конституционно-правовое развитие России / В.Д.Зорькин, - 2-е изд.-М.:Юр.Норма,2023.-448 с.(П)</t>
  </si>
  <si>
    <t>КОНСТИТУЦИОННО-ПРАВОВОЕ РАЗВИТИЕ РОССИИ, ИЗД.2</t>
  </si>
  <si>
    <t>Зорькин В. Д.</t>
  </si>
  <si>
    <t>978-5-91768-993-7</t>
  </si>
  <si>
    <t>40.02.01, 40.02.02, 40.03.01, 40.04.01, 40.05.01, 40.05.02, 40.05.03, 38.03.04, 44.03.05, 40.02.03</t>
  </si>
  <si>
    <t>692966.04.01</t>
  </si>
  <si>
    <t>Конституционно-правовой статус общ. объед. в совр. Рос.: Уч.пос./В.В.Комарова-2изд.-М.:Юр.Норма, НИЦ ИНФРА-М,2023-256с.(П)</t>
  </si>
  <si>
    <t>КОНСТИТУЦИОННО-ПРАВОВОЙ СТАТУС ОБЩЕСТВЕННЫХ ОБЪЕДИНЕНИЙ В СОВРЕМЕННОЙ РОССИИ, ИЗД.2</t>
  </si>
  <si>
    <t>Комарова В.В., Нарутто С.В., Осавелюк А.М. и др.</t>
  </si>
  <si>
    <t>978-5-00156-303-7</t>
  </si>
  <si>
    <t>40.05.04, 40.02.01, 40.02.02, 40.03.01, 40.04.01, 44.04.04, 38.04.04, 40.05.01, 40.05.02, 40.05.03, 38.03.04, 44.03.05, 44.03.04</t>
  </si>
  <si>
    <t>692966.03.01</t>
  </si>
  <si>
    <t>Конституционно-правовой статус общ. объед. в совр. России: Уч.пос. /В.В.Комарова-М.:Юр.Норма, НИЦ ИНФРА-М,2020-224с.(П)</t>
  </si>
  <si>
    <t>КОНСТИТУЦИОННО-ПРАВОВОЙ СТАТУС ОБЩЕСТВЕННЫХ ОБЪЕДИНЕНИЙ В СОВРЕМЕННОЙ РОССИИ</t>
  </si>
  <si>
    <t>978-5-91768-963-0</t>
  </si>
  <si>
    <t>633324.01.01</t>
  </si>
  <si>
    <t>Конституционно-правовой статус прав.стран СНГ: Моногр./А.В.Нечкин-М.:Юр.Норма,НИЦ ИНФРА-М,2016-178с.</t>
  </si>
  <si>
    <t>КОНСТИТУЦИОННО-ПРАВОВОЙ СТАТУС ПРАВИТЕЛЬСТВ СТРАН СОДРУЖЕСТВА НЕЗАВИСИМЫХ ГОСУДАРСТВ (СРАВНИТЕЛЬНОЕ ИССЛЕДОВАНИЕ)</t>
  </si>
  <si>
    <t>978-5-91768-745-2</t>
  </si>
  <si>
    <t>706844.02.01</t>
  </si>
  <si>
    <t>Конституционно-правовые основы институц.гражд.общ.в РФ:Моногр./Е.Е.Никитина-М.:НИЦ ИНФРА-М,2023-280с</t>
  </si>
  <si>
    <t>КОНСТИТУЦИОННО-ПРАВОВЫЕ ОСНОВЫ ИНСТИТУЦИОНАЛИЗАЦИИ ГРАЖДАНСКОГО ОБЩЕСТВА В РОССИЙСКОЙ ФЕДЕРАЦИИ</t>
  </si>
  <si>
    <t>Никитина Е.Е.</t>
  </si>
  <si>
    <t>978-5-16-015124-3</t>
  </si>
  <si>
    <t>40.02.01, 40.02.02, 40.03.01, 40.05.01, 40.05.02, 40.05.03, 38.03.04, 44.03.05, 40.02.03</t>
  </si>
  <si>
    <t>689988.02.01</t>
  </si>
  <si>
    <t>Конституционно-правовые споры / А.В.Никитина - М.:Юр.Норма, НИЦ ИНФРА-М,2020 - 320 с.(П)</t>
  </si>
  <si>
    <t>КОНСТИТУЦИОННО-ПРАВОВЫЕ СПОРЫ</t>
  </si>
  <si>
    <t>Никитина А.В.</t>
  </si>
  <si>
    <t>978-5-91768-953-1</t>
  </si>
  <si>
    <t>Хабаровский государственный университет экономики и права</t>
  </si>
  <si>
    <t>773477.03.01</t>
  </si>
  <si>
    <t>Конституционные основы гос. эколог. политики: Моногр. / И.О.Краснова - М.:Юр. НОРМА,НИЦ ИНФРА-М,2023 - 92 с.(О)</t>
  </si>
  <si>
    <t>КОНСТИТУЦИОННЫЕ ОСНОВЫ ГОСУДАРСТВЕННОЙ ЭКОЛОГИЧЕСКОЙ ПОЛИТИКИ</t>
  </si>
  <si>
    <t>Краснова И.О.</t>
  </si>
  <si>
    <t>978-5-00156-226-9</t>
  </si>
  <si>
    <t>766879.03.01</t>
  </si>
  <si>
    <t>Конституционные основы порядка формир. и деят. представ. орг. в РФ: Уч.пос./Варлен М.ВМ.:Юр.Норма, НИЦ ИНФРА-М,2023.-184с</t>
  </si>
  <si>
    <t>КОНСТИТУЦИОННЫЕ ОСНОВЫ ПОРЯДКА ФОРМИРОВАНИЯ И ДЕЯТЕЛЬНОСТИ ПРЕДСТАВИТЕЛЬНЫХ ОРГАНОВ В РОССИЙСКОЙ ФЕДЕРАЦИИ</t>
  </si>
  <si>
    <t>Варлен М.В., Мазуревский К.С.</t>
  </si>
  <si>
    <t>978-5-00156-204-7</t>
  </si>
  <si>
    <t>461600.05.01</t>
  </si>
  <si>
    <t>Конституционные основы разграничения...: Моногр. /А.Е.Постников -М.: НИЦ ИНФРА-М, 2020- 237с( ИЗиСП)</t>
  </si>
  <si>
    <t>КОНСТИТУЦИОННЫЕ ОСНОВЫ РАЗГРАНИЧЕНИЯ ПОЛНОМОЧИЙ МЕЖДУ ОРГАНАМИ ПУБЛИЧНОЙ ВЛАСТИ</t>
  </si>
  <si>
    <t>Постников А.Е., Андриченко Л.В., Помазанский А.Е. и др.</t>
  </si>
  <si>
    <t>978-5-16-011507-8</t>
  </si>
  <si>
    <t>Одобрено секцией «Публичное право» Ученого совета Федерального государственного научно-исследовательского учреждения «Институт законодательства и сравнительного правоведения при Правительстве Российской Федерации»</t>
  </si>
  <si>
    <t>704208.04.01</t>
  </si>
  <si>
    <t>Конституционные стандарты суд. защиты прав чел. в Рос.: Моногр./ Е.М.Переплеснина-М.:Юр.Норма,2022.-368с</t>
  </si>
  <si>
    <t>КОНСТИТУЦИОННЫЕ СТАНДАРТЫ СУДЕБНОЙ ЗАЩИТЫ ПРАВ ЧЕЛОВЕКА В РОССИИ</t>
  </si>
  <si>
    <t>Переплеснина Е.М.</t>
  </si>
  <si>
    <t>978-5-91768-609-7</t>
  </si>
  <si>
    <t>Верховный Суд Республики Карелия</t>
  </si>
  <si>
    <t>648377.05.01</t>
  </si>
  <si>
    <t>Конституционный Суд России: докт. и практ.: Моногр. /В.Д.Зорькин-М.:Юр.Норма,НИЦ ИНФРА-М,2019-592(П)</t>
  </si>
  <si>
    <t>КОНСТИТУЦИОННЫЙ СУД РОССИИ: ДОКТРИНА И ПРАКТИКА</t>
  </si>
  <si>
    <t>978-5-91768-801-5</t>
  </si>
  <si>
    <t>760130.01.01</t>
  </si>
  <si>
    <t>Конституционный Суд РФ. Решения. 2020: Сб. док./ Отв.ред. Маврин С.П.-М.:Юр.Норма, НИЦ ИНФРА-М,2021.-1120 с.(П)</t>
  </si>
  <si>
    <t>КОНСТИТУЦИОННЫЙ СУД РОССИЙСКОЙ ФЕДЕРАЦИИ. РЕШЕНИЯ. 2020</t>
  </si>
  <si>
    <t>Маврин С.П.</t>
  </si>
  <si>
    <t>Переплет 7</t>
  </si>
  <si>
    <t>978-5-00156-184-2</t>
  </si>
  <si>
    <t>Сборник документов</t>
  </si>
  <si>
    <t>781248.01.01</t>
  </si>
  <si>
    <t>Конституционный Суд РФ. Решения. 2021: Сб. документов-М.:Юр. НОРМА,2022.-1168 с.(П)</t>
  </si>
  <si>
    <t>КОНСТИТУЦИОННЫЙ СУД РФ. РЕШЕНИЯ. 2021</t>
  </si>
  <si>
    <t>978-5-00156-233-7</t>
  </si>
  <si>
    <t>806115.01.01</t>
  </si>
  <si>
    <t>Конституционный Суд РФ. Решения. 2022: Сб. документов - М.:Юр. НОРМА,2023.-1216 с.(п)</t>
  </si>
  <si>
    <t>КОНСТИТУЦИОННЫЙ СУД РОССИЙСКОЙ ФЕДЕРАЦИИ. РЕШЕНИЯ. 2022</t>
  </si>
  <si>
    <t>978-5-00156-307-5</t>
  </si>
  <si>
    <t>40.05.04, 40.05.01, 40.05.02, 40.05.03, 38.05.01, 40.06.01</t>
  </si>
  <si>
    <t>682617.04.01</t>
  </si>
  <si>
    <t>Конституционный Суд РФ: реализ. правозащ. функции: Моногр./Добрынин Н.М.-М.:НИЦ ИНФРА-М,2023-184с(о)</t>
  </si>
  <si>
    <t>КОНСТИТУЦИОННЫЙ СУД РОССИЙСКОЙ ФЕДЕРАЦИИ: РЕАЛИЗАЦИЯ ПРАВОЗАЩИТНОЙ ФУНКЦИИ</t>
  </si>
  <si>
    <t>Карасев Р.Е., Авакьян С.А., Добрынин Н.М.</t>
  </si>
  <si>
    <t>978-5-16-018033-5</t>
  </si>
  <si>
    <t>648391.04.01</t>
  </si>
  <si>
    <t>Конституционный судебный процесс: Практикум / В.В.Комарова - М.:Юр.Норма, НИЦ ИНФРА-М,2022-160 с.(О)</t>
  </si>
  <si>
    <t>КОНСТИТУЦИОННЫЙ СУДЕБНЫЙ ПРОЦЕСС</t>
  </si>
  <si>
    <t>Комарова В.В.</t>
  </si>
  <si>
    <t>978-5-91768-800-8</t>
  </si>
  <si>
    <t>648391.05.01</t>
  </si>
  <si>
    <t>Конституционный судебный процесс: Практикум/ В.В.Комарова -2 изд.- М.:Юр.Норма, НИЦ ИНФРА-М,2024-176 с.(п)</t>
  </si>
  <si>
    <t>КОНСТИТУЦИОННЫЙ СУДЕБНЫЙ ПРОЦЕСС, ИЗД.2</t>
  </si>
  <si>
    <t>Комарова В.В., Будаев А.М., Нарутто С.В. и др.</t>
  </si>
  <si>
    <t>978-5-00156-329-7</t>
  </si>
  <si>
    <t>303400.02.01</t>
  </si>
  <si>
    <t>Конституционный судебный процесс: Уч. / З.К.Александрова-2 изд.-М.:Юр.Норма, НИЦ ИНФРА-М,2015.-352 с.(п)</t>
  </si>
  <si>
    <t>Александрова З.К., Несмеянова С.Э., Кряжков В.А.</t>
  </si>
  <si>
    <t>978-5-91768-527-4</t>
  </si>
  <si>
    <t>40.05.04, 40.02.01, 40.02.02, 40.03.01, 40.04.01, 38.04.04, 40.05.01, 40.05.02, 40.05.03, 38.03.04, 44.03.05</t>
  </si>
  <si>
    <t>Допущено Учебно-методическим объединением по юридическому образованию вузов Российской Федерации в качестве учебника для студентов вузов, обучающихся по направлению подготовки 030900 "Юриспруденция", квалификация "бакалавр"</t>
  </si>
  <si>
    <t>645477.05.01</t>
  </si>
  <si>
    <t>Конституционный судебный процесс: Уч. / М.А.Митюков, - 3-изд.-М.:Юр.Норма, НИЦ ИНФРА-М,2024-336с(П)</t>
  </si>
  <si>
    <t>КОНСТИТУЦИОННЫЙ СУДЕБНЫЙ ПРОЦЕСС, ИЗД.3</t>
  </si>
  <si>
    <t>Комарова В.В., Нарутто С.В., Тороп Ю.В. и др.</t>
  </si>
  <si>
    <t>978-5-00156-338-9</t>
  </si>
  <si>
    <t>0324</t>
  </si>
  <si>
    <t>303400.05.01</t>
  </si>
  <si>
    <t>Конституционный судебный процесс: Уч. / М.С.Саликов - 3 изд.-М.:Юр.Норма,НИЦ ИНФРА-М,2020-352 с.(П)</t>
  </si>
  <si>
    <t>Александрова З. К., Кряжков В. А., Несмеянова С. Э., Саликов М. С.</t>
  </si>
  <si>
    <t>978-5-00156-044-9</t>
  </si>
  <si>
    <t>303400.07.01</t>
  </si>
  <si>
    <t>Конституционный судебный процесс: Уч. / М.С.Саликов - 4 изд.-М.:Юр.Норма,НИЦ ИНФРА-М,2023-392 с.(П)</t>
  </si>
  <si>
    <t>КОНСТИТУЦИОННЫЙ СУДЕБНЫЙ ПРОЦЕСС, ИЗД.4</t>
  </si>
  <si>
    <t>978-5-00156-267-2</t>
  </si>
  <si>
    <t>178050.04.01</t>
  </si>
  <si>
    <t>Конституционный судебный процесс: Уч.пос. / С.Э.Несмеянова, - 2 изд.-М.:ИЦ РИОР, НИЦ ИНФРА-М,2020.-200с(ВО)(П)</t>
  </si>
  <si>
    <t>Несмеянова С.Э.</t>
  </si>
  <si>
    <t>Высшее образование: Бакалавриат и магистратура</t>
  </si>
  <si>
    <t>978-5-369-01757-9</t>
  </si>
  <si>
    <t>036540.25.01</t>
  </si>
  <si>
    <t>Конституция РФ - М.:НИЦ ИНФРА-М,2023 - 70 с.-(о)</t>
  </si>
  <si>
    <t>КОНСТИТУЦИЯ РОССИЙСКОЙ ФЕДЕРАЦИИ</t>
  </si>
  <si>
    <t>978-5-16-016390-1</t>
  </si>
  <si>
    <t>0102</t>
  </si>
  <si>
    <t>024981.22.01</t>
  </si>
  <si>
    <t>Конституция РФ с коммент. Конституционного Суда РФ - 10 изд. - М.:НИЦ ИНФРА-М,2020 - 206 с.(О)</t>
  </si>
  <si>
    <t>КОНСТИТУЦИЯ РОССИЙСКОЙ ФЕДЕРАЦИИ С КОММЕНТАРИЯМИ КОНСТИТУЦИОННОГО СУДА РФ, ИЗД.10</t>
  </si>
  <si>
    <t>978-5-16-011212-1</t>
  </si>
  <si>
    <t>1016</t>
  </si>
  <si>
    <t>024981.24.01</t>
  </si>
  <si>
    <t>Конституция РФ с коммент. Конституционного Суда РФ - 11 изд. - М.:НИЦ ИНФРА-М,2022 - 256 с.(О)</t>
  </si>
  <si>
    <t>КОНСТИТУЦИЯ РОССИЙСКОЙ ФЕДЕРАЦИИ С КОММЕНТАРИЯМИ КОНСТИТУЦИОННОГО СУДА РФ, ИЗД.11</t>
  </si>
  <si>
    <t>978-5-16-016391-8</t>
  </si>
  <si>
    <t>024981.26.01</t>
  </si>
  <si>
    <t>Конституция РФ с коммент. Конституционного Суда РФ - 12 изд. - М.:НИЦ ИНФРА-М,2024 - 256 с.(О)</t>
  </si>
  <si>
    <t>КОНСТИТУЦИЯ РОССИЙСКОЙ ФЕДЕРАЦИИ С КОММЕНТАРИЯМИ КОНСТИТУЦИОННОГО СУДА РФ, ИЗД.12</t>
  </si>
  <si>
    <t>978-5-16-018169-1</t>
  </si>
  <si>
    <t>1223</t>
  </si>
  <si>
    <t>753345.01.01</t>
  </si>
  <si>
    <t>Конституция РФ. Офиц. текст / Вступ. статья Т.Я.Хабриевой - М.:Юр.Норма, НИЦ ИНФРА-М,2021-136 с.(П.к/ф)</t>
  </si>
  <si>
    <t>КОНСТИТУЦИЯ РОССИЙСКОЙ ФЕДЕРАЦИИ. ОФИЦИАЛЬНЫЙ ТЕКСТ.ВСТУПИТЕЛЬНАЯ СТАТЬЯ Т.Я.ХАБРИЕВОЙ. ПОДАРОЧНОЕ ИЗДАНИЕ</t>
  </si>
  <si>
    <t>978-5-00156-160-6</t>
  </si>
  <si>
    <t>00.05.08, 40.03.01, 00.03.08, 00.02.08</t>
  </si>
  <si>
    <t>742031.07.01</t>
  </si>
  <si>
    <t>Конституция РФ: Официальный текст - М.:Юр.Норма, НИЦ ИНФРА-М,2023 - 120 с.(О)</t>
  </si>
  <si>
    <t>КОНСТИТУЦИЯ РФ: ОФИЦИАЛЬНЫЙ ТЕКСТ</t>
  </si>
  <si>
    <t>978-5-00156-095-1</t>
  </si>
  <si>
    <t>40.05.04, 40.02.01, 40.02.02, 40.03.01, 40.04.01, 40.05.01, 40.05.02, 40.05.03, 38.03.04, 40.02.03</t>
  </si>
  <si>
    <t>014219.05.01</t>
  </si>
  <si>
    <t>Консульские отношения и консульское право: Уч. /О.В.Плотникова -2 изд. -М.: Юр.Норма, НИЦ ИНФРА-М, 2020 -144с</t>
  </si>
  <si>
    <t>КОНСУЛЬСКИЕ ОТНОШЕНИЯ И КОНСУЛЬСКОЕ ПРАВО, ИЗД.2</t>
  </si>
  <si>
    <t>Плотникова О.В., Дубровина О.Ю.</t>
  </si>
  <si>
    <t>978-5-91768-667-7</t>
  </si>
  <si>
    <t>764287.02.01</t>
  </si>
  <si>
    <t>Контроль и надзор как гарантии законности: теор..: Моногр. / С.Г.Нистратов-М.:НИЦ ИНФРА-М,2022.-186 с.(Науч.мысль)(П)</t>
  </si>
  <si>
    <t>КОНТРОЛЬ И НАДЗОР КАК ГАРАНТИИ ЗАКОННОСТИ: ТЕОРЕТИКО-ПРАВОВОЙ АСПЕКТ</t>
  </si>
  <si>
    <t>Нистратов С.Г., Редько А.А.</t>
  </si>
  <si>
    <t>978-5-16-017176-0</t>
  </si>
  <si>
    <t>634165.07.01</t>
  </si>
  <si>
    <t>Конфликт интересов на государственной службе... / Т.С.Глазырин и др. - М.:НИЦ ИНФРА-М,2023.-224 с(П)</t>
  </si>
  <si>
    <t>КОНФЛИКТ ИНТЕРЕСОВ НА ГОСУДАРСТВЕННОЙ СЛУЖБЕ, В ДЕЯТЕЛЬНОСТИ ОРГАНИЗАЦИЙ: ПРИЧИНЫ, ПРЕДОТВРАЩЕНИЕ, УРЕГУЛИРОВАНИЕ</t>
  </si>
  <si>
    <t>Глазырин Т.С., Козлов Т.Л., Колосова Н.М. и др.</t>
  </si>
  <si>
    <t>978-5-16-012101-7</t>
  </si>
  <si>
    <t>40.03.01, 40.04.01, 38.03.01, 38.03.04</t>
  </si>
  <si>
    <t>Университет прокуратуры Российской Федерации</t>
  </si>
  <si>
    <t>384700.04.01</t>
  </si>
  <si>
    <t>Концептуальные основы конкуренции угол..: Моногр./Л.В.Иногамова-Хегай-Юр.Норма,НИЦ ИНФРА-М,2022-288с</t>
  </si>
  <si>
    <t>КОНЦЕПТУАЛЬНЫЕ ОСНОВЫ КОНКУРЕНЦИИ УГОЛОВНО-ПРАВОВЫХ НОРМ</t>
  </si>
  <si>
    <t>Иногамова-Хегай Л.В.</t>
  </si>
  <si>
    <t>978-5-91768-647-9</t>
  </si>
  <si>
    <t>646254.03.01</t>
  </si>
  <si>
    <t>Концептуальные основы совр. социального гос. и соц. право: Уч. / А.А.Акмалова-М.:НИЦ ИНФРА-М,2023-316 с(ВО)(П)</t>
  </si>
  <si>
    <t>КОНЦЕПТУАЛЬНЫЕ ОСНОВЫ СОВРЕМЕННОГО СОЦИАЛЬНОГО ГОСУДАРСТВА И СОЦИАЛЬНОЕ ПРАВО</t>
  </si>
  <si>
    <t>978-5-16-013694-3</t>
  </si>
  <si>
    <t>40.05.04, 40.04.01, 39.04.02, 38.04.04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</si>
  <si>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39.04.02 «Социальная работа» (квалификация (степень) «магистр») (протокол № 8 от 22.06.2020)</t>
  </si>
  <si>
    <t>315400.09.01</t>
  </si>
  <si>
    <t>Концепция борьбы с организованной и коррупц. преступ..: Моногр. / В.Е.Эминов - Норма: ИНФРА-М,2023-80с.(О)</t>
  </si>
  <si>
    <t>КОНЦЕПЦИЯ БОРЬБЫ С ОРГАНИЗОВАННОЙ И КОРРУПЦИОННОЙ ПРЕСТУПНОСТЬЮ В РОССИИ</t>
  </si>
  <si>
    <t>Эминов В. Е., Максимов С. В.</t>
  </si>
  <si>
    <t>978-5-91768-550-2</t>
  </si>
  <si>
    <t>776630.02.01</t>
  </si>
  <si>
    <t>Концепция построения уголов. судопроизводства.../Л.Н.Масленникова-М.:Юр. НОРМА, НИЦ ИНФРА-М,2023-664с(П)</t>
  </si>
  <si>
    <t>КОНЦЕПЦИЯ ПОСТРОЕНИЯ УГОЛОВНОГО СУДОПРОИЗВОДСТВА, ОБЕСПЕЧИВАЮЩЕГО ДОСТУП К ПРАВОСУДИЮ В УСЛОВИЯХ РАЗВИТИЯ ЦИФРОВЫХ ТЕХНОЛОГИЙ</t>
  </si>
  <si>
    <t>Масленникова Л.Н., Вилкова Т.Ю., Собенин А.А. и др.</t>
  </si>
  <si>
    <t>978-5-00156-242-9</t>
  </si>
  <si>
    <t>40.05.04, 40.02.02, 40.05.01, 40.05.02, 40.05.03, 40.06.01</t>
  </si>
  <si>
    <t>756174.06.01</t>
  </si>
  <si>
    <t>Концепция цифр. гос. и цифр. правовой среды: Моногр. / Д.А.Пашенцев.-М.:Юр.Норма, НИЦ ИНФРА-М,2024.-244 с.(П)</t>
  </si>
  <si>
    <t>КОНЦЕПЦИЯ ЦИФРОВОГО ГОСУДАРСТВА И ЦИФРОВОЙ ПРАВОВОЙ СРЕДЫ</t>
  </si>
  <si>
    <t>Пашенцев Д.А., Дорская А.А., Залоило М.В.</t>
  </si>
  <si>
    <t>978-5-00156-164-4</t>
  </si>
  <si>
    <t>682162.03.01</t>
  </si>
  <si>
    <t>Координационные юрид. тех. в странах Европы:Моногр. / А.А.Максуров-М.:НИЦ ИНФРА-М,2023-569с(П)</t>
  </si>
  <si>
    <t>КООРДИНАЦИОННЫЕ ЮРИДИЧЕСКИЕ ТЕХНОЛОГИИ В СТРАНАХ ЕВРОПЫ</t>
  </si>
  <si>
    <t>978-5-16-014028-5</t>
  </si>
  <si>
    <t>763281.01.01</t>
  </si>
  <si>
    <t>Координация деят. субъектов права  в услов. кризиса: Моногр. / А.А.Максуров-М.:НИЦ ИНФРА-М,2022.-260 с.(Науч.мысль)(П)</t>
  </si>
  <si>
    <t>КООРДИНАЦИЯ ДЕЯТЕЛЬНОСТИ СУБЪЕКТОВ ПРАВА  В УСЛОВИЯХ КРИЗИСА</t>
  </si>
  <si>
    <t>978-5-16-017245-3</t>
  </si>
  <si>
    <t>40.04.01, 38.04.04, 40.06.01</t>
  </si>
  <si>
    <t>700162.06.01</t>
  </si>
  <si>
    <t>Корпоративное право: Уч.пос. / Под ред. Ручкиной Г.Ф. - М.:НИЦ ИНФРА-М,2023 - 160 с.-(ВО)(п)</t>
  </si>
  <si>
    <t>КОРПОРАТИВНОЕ ПРАВО</t>
  </si>
  <si>
    <t>Ручкина Г.Ф., Васильева О.Н., Ромашкова И.И. и др.</t>
  </si>
  <si>
    <t>978-5-16-018544-6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</si>
  <si>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</si>
  <si>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633952.04.01</t>
  </si>
  <si>
    <t>Корреляция мер по противодействию..: Науч.-мет.пос /Под ред.Южакова В.Н.-М.:НИЦ ИНФРА-М,2023-156с(о)</t>
  </si>
  <si>
    <t>КОРРЕЛЯЦИЯ МЕР ПО ПРОТИВОДЕЙСТВИЮ КОРРУПЦИИ С ПРИЧИНАМИ И УСЛОВИЯМИ ЕЕ ВОЗНИКНОВЕНИЯ</t>
  </si>
  <si>
    <t>Добролюбова Е.И., Павлушкин А.В., Сидоренко Э.Л. и др.</t>
  </si>
  <si>
    <t>978-5-16-012086-7</t>
  </si>
  <si>
    <t>Пособие</t>
  </si>
  <si>
    <t>40.02.01, 40.02.02, 40.03.01, 38.03.01, 38.03.04, 44.03.05</t>
  </si>
  <si>
    <t>708109.05.01</t>
  </si>
  <si>
    <t>Коррупция в России XXI в.: неформальные термины.../ П.А.Скобликов - М.:Юр.Норма, НИЦ ИНФРА-М,2023-168с</t>
  </si>
  <si>
    <t>КОРРУПЦИЯ В РОССИИ XXI ВЕКА: НЕФОРМАЛЬНЫЕ ТЕРМИНЫ И ПОНЯТИЯ</t>
  </si>
  <si>
    <t>978-5-91768-795-7</t>
  </si>
  <si>
    <t>436050.02.01</t>
  </si>
  <si>
    <t>Косвенные (опосредованные) правовые отн.: вопросы методологии и значение в фин. деят.гос.: Моногр./ А.М. Асадов-М.:Норма,2015-320 с(П)</t>
  </si>
  <si>
    <t>КОСВЕННЫЕ (ОПОСРЕДОВАННЫЕ) ПРАВОВЫЕ ОТНОШЕНИЯ: ВОПРОСЫ МЕТОДОЛОГИИ И ЗНАЧЕНИЕ В ФИНАНСОВОЙ ДЕЯТЕЛЬНОСТИ ГОСУДАРСТВА</t>
  </si>
  <si>
    <t>Асадов А. М.</t>
  </si>
  <si>
    <t>978-5-91768-375-1</t>
  </si>
  <si>
    <t>Уральский институт экономики, управления и права</t>
  </si>
  <si>
    <t>428250.05.01</t>
  </si>
  <si>
    <t>Креативная педагогика на примере дисциплины..:Уч.-метод.пос./ Д.В.Лоренц-М:НИЦ ИНФРА-М,2023-112с(ВО) (о)</t>
  </si>
  <si>
    <t>КРЕАТИВНАЯ ПЕДАГОГИКА НА ПРИМЕРЕ ДИСЦИПЛИНЫ "РИМСКОЕ ЧАСТНОЕ ПРАВО"</t>
  </si>
  <si>
    <t>Лоренц Д. В.</t>
  </si>
  <si>
    <t>978-5-16-006633-2</t>
  </si>
  <si>
    <t>411850.05.01</t>
  </si>
  <si>
    <t>Кризис совр. рос. правосознания: Моногр. / Ю.К.Погребная-М.:НИЦ ИНФРА-М,2024.-192 с.(Науч.мысль)(п)</t>
  </si>
  <si>
    <t>КРИЗИС СОВРЕМЕННОГО РОССИЙСКОГО ПРАВОСОЗНАНИЯ</t>
  </si>
  <si>
    <t>Погребная Ю. К.</t>
  </si>
  <si>
    <t>978-5-16-011693-8</t>
  </si>
  <si>
    <t>023395.13.01</t>
  </si>
  <si>
    <t>Криминалистика в вопр.и ответах: Уч.пос. / Н.П.Яблоков - 3 изд.-М.:Юр.Норма,НИЦ ИНФРА-М,2024-288с.(О)</t>
  </si>
  <si>
    <t>КРИМИНАЛИСТИКА В ВОПРОСАХ И ОТВЕТАХ, ИЗД.3</t>
  </si>
  <si>
    <t>Яблоков Н.П.</t>
  </si>
  <si>
    <t>Повторительный курс</t>
  </si>
  <si>
    <t>978-5-91768-145-0</t>
  </si>
  <si>
    <t>0311</t>
  </si>
  <si>
    <t>110923.07.01</t>
  </si>
  <si>
    <t>Криминалистика: природа, система, метод.: Моног. / Н.П.Яблоков - 2 изд. - М.:Юр.Норма,2022 - 288 с.(О)</t>
  </si>
  <si>
    <t>КРИМИНАЛИСТИКА: ПРИРОДА, СИСТЕМА, МЕТОДОЛОГИЧЕСКИЕ ОСНОВЫ, ИЗД.2</t>
  </si>
  <si>
    <t>Яблоков Н.П., Головин А.Ю.</t>
  </si>
  <si>
    <t>978-5-91768-040-8</t>
  </si>
  <si>
    <t>0209</t>
  </si>
  <si>
    <t>768884.03.01</t>
  </si>
  <si>
    <t>Криминалистика: Уч. / Д.Н.Балашов и др. - 3 изд. - М.:НИЦ ИНФРА-М,2024 - 449 с(СПО)(П)</t>
  </si>
  <si>
    <t>КРИМИНАЛИСТИКА, ИЗД.3</t>
  </si>
  <si>
    <t>Балашов Д.Н., Балашов Н.М., Маликов С.В.</t>
  </si>
  <si>
    <t>978-5-16-017344-3</t>
  </si>
  <si>
    <t>40.02.02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</si>
  <si>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5 от 19.05.2021)</t>
  </si>
  <si>
    <t>065600.11.01</t>
  </si>
  <si>
    <t>Криминалистика: Уч. / Д.Н.Балашов и др., - 3-е изд.-М.:НИЦ ИНФРА-М,2024.-448 с.(ВО: Бакалавриат)(п)</t>
  </si>
  <si>
    <t>Балашов Д. Н., Балашов Н. М., Маликов С. В.</t>
  </si>
  <si>
    <t>978-5-16-009361-1</t>
  </si>
  <si>
    <t>40.05.04, 40.02.02, 40.03.01, 40.04.01, 40.05.01, 40.05.02, 40.05.03</t>
  </si>
  <si>
    <t>Допущено Учебно-методическим объединением по юридическому образованию вузов РФ в качестве учебника для студентов высших учебных заведений, обучающихся по специальностям и направлению юридического профиля</t>
  </si>
  <si>
    <t>683423.08.01</t>
  </si>
  <si>
    <t>Криминалистика: Уч. / Е.Р.Россинская - М.:Юр.Норма, НИЦ ИНФРА-М,2023 - 464 с.-(СПО)(П)</t>
  </si>
  <si>
    <t>КРИМИНАЛИСТИКА</t>
  </si>
  <si>
    <t>978-5-91768-929-6</t>
  </si>
  <si>
    <t>Допущено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</si>
  <si>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173100.12.01</t>
  </si>
  <si>
    <t>Криминалистика: Уч. / Е.Р.Россинская - М.:Юр.Норма, НИЦ ИНФРА-М,2023-464с.(П)</t>
  </si>
  <si>
    <t>Россинская Е. Р.</t>
  </si>
  <si>
    <t>978-5-91768-231-0</t>
  </si>
  <si>
    <t>020724.20.01</t>
  </si>
  <si>
    <t>Криминалистика: Уч. / Н.П. Яблоков - 2 изд. -М.: Юр.Норма, НИЦ ИНФРА-М, 2023 -400с. (п)</t>
  </si>
  <si>
    <t>КРИМИНАЛИСТИКА, ИЗД.2</t>
  </si>
  <si>
    <t>Яблоков Н. П.</t>
  </si>
  <si>
    <t>978-5-91768-317-1</t>
  </si>
  <si>
    <t>Рекомендовано Учебно-методическим Советом по юридическому образованию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спец."Юриспруденция"</t>
  </si>
  <si>
    <t>0208</t>
  </si>
  <si>
    <t>019667.24.01</t>
  </si>
  <si>
    <t>Криминалистика: Уч. / Под ред. Н.П.Яблокова - 5 изд. -М.: Юр.Норма, НИЦ ИНФРА-М, 2024.- 752 с. (п)</t>
  </si>
  <si>
    <t>КРИМИНАЛИСТИКА, ИЗД.5</t>
  </si>
  <si>
    <t>978-5-91768-830-5</t>
  </si>
  <si>
    <t>016775.27.01</t>
  </si>
  <si>
    <t>Криминалистика: Уч. / Т.В. Аверьянова - 4 изд. - М.: Норма:НИЦ Инфра-М,2024 - 928 с. (п)</t>
  </si>
  <si>
    <t>КРИМИНАЛИСТИКА, ИЗД.4</t>
  </si>
  <si>
    <t>Аверьянова Т. В., Россинская Е. Р., Белкин Р. С., Корухов Ю. Г.</t>
  </si>
  <si>
    <t>978-5-91768-334-8</t>
  </si>
  <si>
    <t>Допущено Министерством образования РФ в качестве учебника для студентов вузов, обучающихся по специальности "Юриспруденция"</t>
  </si>
  <si>
    <t>0413</t>
  </si>
  <si>
    <t>056590.15.01</t>
  </si>
  <si>
    <t>Криминалистика: Уч.пос. / Д.Н.Балашов - 6 изд.-М.:ИЦ РИОР, НИЦ ИНФРА-М,2021-241с(ВО: Бакалавриат)(О)</t>
  </si>
  <si>
    <t>КРИМИНАЛИСТИКА, ИЗД.6</t>
  </si>
  <si>
    <t>ВО: Бакалавриат</t>
  </si>
  <si>
    <t>978-5-369-01353-3</t>
  </si>
  <si>
    <t>0615</t>
  </si>
  <si>
    <t>056590.16.01</t>
  </si>
  <si>
    <t>Криминалистика: Уч.пос. / Д.Н.Балашов - 7 изд. - М.:ИЦ РИОР, НИЦ ИНФРА-М,2022 - 242 с.-(ВО: Бакалавр.)(О)</t>
  </si>
  <si>
    <t>КРИМИНАЛИСТИКА, ИЗД.7</t>
  </si>
  <si>
    <t>978-5-369-01883-5</t>
  </si>
  <si>
    <t>0722</t>
  </si>
  <si>
    <t>074030.08.01</t>
  </si>
  <si>
    <t>Криминалистика: Шпаргалка - 3изд. - М.:ИЦ РИОР,2016-240с. (Шпаргалка [отрывная])(о)</t>
  </si>
  <si>
    <t>978-5-369-01476-9</t>
  </si>
  <si>
    <t>459900.05.01</t>
  </si>
  <si>
    <t>Криминалистическая метод. расследования...: Моногр. /Н.П.Яблоков -М.:Юр.Норма, НИЦ ИНФРА-М, 2022-192с.(П)</t>
  </si>
  <si>
    <t>КРИМИНАЛИСТИЧЕСКАЯ МЕТОДИКА РАССЛЕДОВАНИЯ</t>
  </si>
  <si>
    <t>978-5-91768-687-5</t>
  </si>
  <si>
    <t>081700.13.01</t>
  </si>
  <si>
    <t>Криминальная психология / С.В.Познышев и др. -М.:НИЦ ИНФРА-М, 2023-311с.(Б-ка криминолога)(П)</t>
  </si>
  <si>
    <t>КРИМИНАЛЬНАЯ ПСИХОЛОГИЯ</t>
  </si>
  <si>
    <t>Познышев С.В., Овчинский В.С., Федоров А.В.</t>
  </si>
  <si>
    <t>978-5-16-013196-2</t>
  </si>
  <si>
    <t>020720.19.01</t>
  </si>
  <si>
    <t>Криминология / А.И.Долгова - 4 изд. - М.: Юр.Норма, НИЦ ИНФРА-М, 2023 -368 с. (О)</t>
  </si>
  <si>
    <t>КРИМИНОЛОГИЯ, ИЗД.4</t>
  </si>
  <si>
    <t>Долгова А.И.</t>
  </si>
  <si>
    <t>978-5-91768-729-2</t>
  </si>
  <si>
    <t>Российская криминологическая ассоциация</t>
  </si>
  <si>
    <t>757869.01.01</t>
  </si>
  <si>
    <t>Криминология в схемах и опред.: Уч.пос. / Под ред.Эминова В.Е. -М.:Юр.Норма,НИЦ ИНФРА-М,2021-128с(П)</t>
  </si>
  <si>
    <t>КРИМИНОЛОГИЯ В СХЕМАХ И ОПРЕДЕЛЕНИЯХ</t>
  </si>
  <si>
    <t>Эминов В.Е.</t>
  </si>
  <si>
    <t>978-5-00156-176-7</t>
  </si>
  <si>
    <t>648392.09.01</t>
  </si>
  <si>
    <t>Криминология в схемах и опред.: Уч.пос. / Под ред.Эминова В.Е. -М.:Юр.Норма,НИЦ ИНФРА-М,2024-128с(О)</t>
  </si>
  <si>
    <t>978-5-91768-804-6</t>
  </si>
  <si>
    <t>061380.09.01</t>
  </si>
  <si>
    <t>Криминология и биотехнологии: Моногр. / В.С.Овчинский-М.:НОРМА, НИЦ ИНФРА-М,2024.-192 с.(о)</t>
  </si>
  <si>
    <t>КРИМИНОЛОГИЯ И БИОТЕХНОЛОГИИ</t>
  </si>
  <si>
    <t>Овчинский В. С.</t>
  </si>
  <si>
    <t>978-5-89123-907-4</t>
  </si>
  <si>
    <t>786380.01.01</t>
  </si>
  <si>
    <t>Криминология и предупреждение преступлений: Уч. / Н.В.Кузьмина-М.:НИЦ ИНФРА-М,2024.-222 с.(СПО)(п)</t>
  </si>
  <si>
    <t>КРИМИНОЛОГИЯ И ПРЕДУПРЕЖДЕНИЕ ПРЕСТУПЛЕНИЙ</t>
  </si>
  <si>
    <t>Кузьмина Н.В.</t>
  </si>
  <si>
    <t>978-5-16-017970-4</t>
  </si>
  <si>
    <t>678844.07.01</t>
  </si>
  <si>
    <t>Криминология цифрового мира: Уч. / В.С.Овчинский - М.:Юр.Норма, НИЦ ИНФРА-М,2023 - 352 с.(П)</t>
  </si>
  <si>
    <t>КРИМИНОЛОГИЯ ЦИФРОВОГО МИРА</t>
  </si>
  <si>
    <t>Овчинский В.С.</t>
  </si>
  <si>
    <t>978-5-91768-896-1</t>
  </si>
  <si>
    <t>785658.01.01</t>
  </si>
  <si>
    <t>Криминология. Общая и Особенная части: Уч. / Н.А.Горшкова.-М.:НИЦ ИНФРА-М,2023.-390 с.(ВО.Сп)(п)</t>
  </si>
  <si>
    <t>КРИМИНОЛОГИЯ: ОБЩАЯ И ОСОБЕННАЯ ЧАСТИ</t>
  </si>
  <si>
    <t>Горшенков Г.Н., Пикин И.В., Михайлов А.Е. и др.</t>
  </si>
  <si>
    <t>978-5-16-017956-8</t>
  </si>
  <si>
    <t>40.05.04, 40.05.01, 40.05.02, 40.05.03</t>
  </si>
  <si>
    <t>Национальный исследовательский Нижегородский государственный университет им. Н.И. Лобачевского</t>
  </si>
  <si>
    <t>098100.18.01</t>
  </si>
  <si>
    <t>Криминология: Уч. / М.П.Клейменов - 3 изд. - М.:Юр.Норма, НИЦ ИНФРА-М,2023 - 400 с.(П)</t>
  </si>
  <si>
    <t>КРИМИНОЛОГИЯ, ИЗД.3</t>
  </si>
  <si>
    <t>Клейменов М. П.</t>
  </si>
  <si>
    <t>978-5-91768-857-2</t>
  </si>
  <si>
    <t>Допущено УМО по юрид. образованию вузов РФ в качестве учебника для студентов высших учебных заведений, обучающихся по напр. 030500 "Юриспруденция", и по специальностям: 030501 "Юриспруденция", 030505 "Правоохранительная деятельность"</t>
  </si>
  <si>
    <t>Омский государственный университет им. Ф.М. Достоевского</t>
  </si>
  <si>
    <t>683422.05.01</t>
  </si>
  <si>
    <t>Криминология: Уч. / М.П.Клейменов - М.:Юр.Норма, НИЦ ИНФРА-М,2024 - 400 с.-(СПО)(П)</t>
  </si>
  <si>
    <t>КРИМИНОЛОГИЯ</t>
  </si>
  <si>
    <t>Клейменов М.П.</t>
  </si>
  <si>
    <t>978-5-91768-928-9</t>
  </si>
  <si>
    <t>40.02.02, 40.02.03</t>
  </si>
  <si>
    <t>001450.22.01</t>
  </si>
  <si>
    <t>Криминология: Уч. / Под ред. Кудрявцева В.Н., - 5 изд.-М.:Юр.Норма, НИЦ ИНФРА-М,2024.-800 с.(п)</t>
  </si>
  <si>
    <t>КРИМИНОЛОГИЯ, ИЗД.5</t>
  </si>
  <si>
    <t>Кудрявцев В. Н., Эминов В. Е.</t>
  </si>
  <si>
    <t>978-5-91768-394-2</t>
  </si>
  <si>
    <t>40.05.04, 40.03.01, 40.04.01, 40.05.01, 40.05.02, 44.05.01, 40.05.03, 10.05.05</t>
  </si>
  <si>
    <t>Допущено Мин. обр. и науки РФ в качестве учебника для студентов, обучающихся по специальностям  "Юриспруденция", "Правоохранительная деятельность" и по направлению "Юриспруденция"</t>
  </si>
  <si>
    <t>0513</t>
  </si>
  <si>
    <t>653026.03.01</t>
  </si>
  <si>
    <t>Криминология: Уч. для аспирантов / И.М.Мацкевич и др. - М.:Юр.Норма,НИЦ ИНФРА-М,2022 - 368 с.(П)</t>
  </si>
  <si>
    <t>Мацкевич И.М., Аминов И.И., Антонян Е.А. и др.</t>
  </si>
  <si>
    <t>978-5-91768-819-0</t>
  </si>
  <si>
    <t>40.05.04, 40.03.01, 40.05.01, 40.05.02, 40.05.03, 40.06.01</t>
  </si>
  <si>
    <t>003506.20.01</t>
  </si>
  <si>
    <t>Криминология: Уч. для вузов / А.И.Долгова - М.:Юр.Норма, НИЦ ИНФРА-М,2023 - 1008 с.(П)</t>
  </si>
  <si>
    <t>Долгова А. И.</t>
  </si>
  <si>
    <t>978-5-91768-038-5</t>
  </si>
  <si>
    <t>Рекомендовано Мин. обр. и науки РФ в качестве учебника для студентов ВУЗов, обучающихся по специальности "Юриспруденция"</t>
  </si>
  <si>
    <t>0410</t>
  </si>
  <si>
    <t>452400.04.01</t>
  </si>
  <si>
    <t>Культура и местное самоуправление...: Моногр. /А.Н.Панфилов-М.:НИЦ ИНФРА-М,2020-237с.(Науч.мысль)(п)</t>
  </si>
  <si>
    <t>КУЛЬТУРА И МЕСТНОЕ САМОУПРАВЛЕНИЕ: КОНСТИТУЦИОННО-ПРАВОВЫЕ АСПЕКТЫ ВЗАИМОДЕЙСТВИЯ</t>
  </si>
  <si>
    <t>Панфилов А.Н.</t>
  </si>
  <si>
    <t>978-5-16-011457-6</t>
  </si>
  <si>
    <t>40.03.01, 51.04.04, 40.04.01, 51.04.01, 51.04.03, 44.03.05, 51.03.01, 51.03.04, 51.03.03</t>
  </si>
  <si>
    <t>232700.09.01</t>
  </si>
  <si>
    <t>Культурные традиции права: Монография / Г.В.Мальцев - М.:Юр.Норма, НИЦ ИНФРА-М,2023. - 608 с.</t>
  </si>
  <si>
    <t>КУЛЬТУРНЫЕ ТРАДИЦИИ ПРАВА</t>
  </si>
  <si>
    <t>Мальцев Г. В.</t>
  </si>
  <si>
    <t>978-5-91768-423-9</t>
  </si>
  <si>
    <t>46.04.01, 40.04.01, 51.04.01</t>
  </si>
  <si>
    <t>068709.06.01</t>
  </si>
  <si>
    <t>Культурные ценности в междун. обороте: Моногр./М.М.Богуславский - 2 изд.- Норма: ИНФРА-М, 2020-416с. (п)</t>
  </si>
  <si>
    <t>КУЛЬТУРНЫЕ ЦЕННОСТИ В МЕЖДУНАРОДНОМ ОБОРОТЕ: ПРАВОВЫЕ АСПЕКТЫ, ИЗД.2</t>
  </si>
  <si>
    <t>Богуславский М. М.</t>
  </si>
  <si>
    <t>978-5-91768-224-2</t>
  </si>
  <si>
    <t>0212</t>
  </si>
  <si>
    <t>085960.20.01</t>
  </si>
  <si>
    <t>Курс римского частного права: Уч. / Ч.Санфилиппо и др. - М.: Юр.Норма, НИЦ ИНФРА-М, 2024 - 464 с.(П)</t>
  </si>
  <si>
    <t>КУРС РИМСКОГО ЧАСТНОГО ПРАВА</t>
  </si>
  <si>
    <t>Санфилиппо Ч., Дождев Д. В., Маханьков И. И.</t>
  </si>
  <si>
    <t>978-5-91768-994-4</t>
  </si>
  <si>
    <t>Московская высшая школа социальных и экономических наук</t>
  </si>
  <si>
    <t>102850.10.01</t>
  </si>
  <si>
    <t>Курс уголовной политики в связи с уголовной социологией / С.К. Гогель. - М.: ИНФРА-М, 2024. - 386 с. (п)</t>
  </si>
  <si>
    <t>КУРС УГОЛОВНОЙ ПОЛИТИКИ В СВЯЗИ С УГОЛОВНОЙ СОЦИОЛОГИЕЙ</t>
  </si>
  <si>
    <t>Гогель С. К., Овчинский В. С., Федоров А. В.</t>
  </si>
  <si>
    <t>978-5-16-003500-0</t>
  </si>
  <si>
    <t>Европейский университет в Санкт-Петербурге</t>
  </si>
  <si>
    <t>733187.02.01</t>
  </si>
  <si>
    <t>Латиноамериканские модели орг. и функционир. органов... / А.А. Соловьёв - М.: ИНФРА-М, 2022 - 187 с(О)</t>
  </si>
  <si>
    <t>ЛАТИНОАМЕРИКАНСКИЕ МОДЕЛИ ОРГАНИЗАЦИИ И ФУНКЦИОНИРОВАНИЯ ОРГАНОВ СУДЕЙСКОГО СООБЩЕСТВА. АРГЕНТИНСКАЯ РЕСПУБЛИКА И МЕКСИКАНСКИЕ СОЕДИНЕННЫЕ ШТАТЫ</t>
  </si>
  <si>
    <t>978-5-16-016083-2</t>
  </si>
  <si>
    <t>475600.05.01</t>
  </si>
  <si>
    <t>Лекции по криминологии: Уч.пос. / В.Н.Кудрявцев - М.:Юр.Норма,НИЦ ИНФРА-М,2022-188с.(П)</t>
  </si>
  <si>
    <t>ЛЕКЦИИ ПО КРИМИНОЛОГИИ</t>
  </si>
  <si>
    <t>978-5-91768-706-3</t>
  </si>
  <si>
    <t>085590.07.01</t>
  </si>
  <si>
    <t>Личность и государство в России / Б.С. Эбзеев - М.: НОРМА, 2023 - 384 с. (П)</t>
  </si>
  <si>
    <t>ЛИЧНОСТЬ И ГОСУДАРСТВО В РОССИИ: ВЗАИМНАЯ ОТВЕТСТВЕННОСТЬ И КОНСТИТУЦИОННЫЕ ОБЯЗАННОСТИ</t>
  </si>
  <si>
    <t>978-5-468-00119-6</t>
  </si>
  <si>
    <t>423500.05.01</t>
  </si>
  <si>
    <t>Личность организов.преступника:: Моногр. / Под ред. Долговой А.И. - М.:Юр.Норма,НИЦ ИНФРА-М,2022-368с.(п)</t>
  </si>
  <si>
    <t>ЛИЧНОСТЬ ОРГАНИЗОВАННОГО ПРЕСТУПНИКА: КРИМИНОЛОГИЧЕСКОЕ ИССЛЕДОВАНИЕ</t>
  </si>
  <si>
    <t>Долгова А. И., Белоцерковский С. Д., Васнецова А. С., Соколов Д. А., Долгова А. И.</t>
  </si>
  <si>
    <t>978-5-91768-325-6</t>
  </si>
  <si>
    <t>057463.10.01</t>
  </si>
  <si>
    <t>Личность преступника. Кримин.-психол. исследов.: Моногр. / Ю.М.Антонян - М.:Юр.Норма,-М,2022-368с(О)</t>
  </si>
  <si>
    <t>ЛИЧНОСТЬ ПРЕСТУПНИКА. КРИМИНОЛОГО-ПСИХОЛОГИЧЕСКОЕ ИССЛЕДОВАНИЕ</t>
  </si>
  <si>
    <t>Антонян Ю. М., Эминов В. Е.</t>
  </si>
  <si>
    <t>978-5-91768-077-4</t>
  </si>
  <si>
    <t>37.03.01, 40.03.01, 40.04.01</t>
  </si>
  <si>
    <t>Всероссийский научно-исследовательский институт Министерства внутренних дел Российской Федерации</t>
  </si>
  <si>
    <t>732045.02.01</t>
  </si>
  <si>
    <t>Логика для юристов: Уч. / Е.А.Кротков - М.:НИЦ ИНФРА-М,2022 - 210 с.(СПО)(П)</t>
  </si>
  <si>
    <t>ЛОГИКА ДЛЯ ЮРИСТОВ</t>
  </si>
  <si>
    <t>Кротков Е.А.</t>
  </si>
  <si>
    <t>978-5-16-015997-3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</si>
  <si>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18 от 25.11.2019)</t>
  </si>
  <si>
    <t>652792.05.01</t>
  </si>
  <si>
    <t>Логика для юристов: Уч. / Е.А.Кротков - М.:НИЦ ИНФРА-М,2023 - 210 с.-(ВО: Бакалавриат)(П)</t>
  </si>
  <si>
    <t>978-5-16-014296-8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</si>
  <si>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</si>
  <si>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642082.07.01</t>
  </si>
  <si>
    <t>Логика для юристов: Уч.пос. / С.В.Корнакова - 2 изд. - М.:НИЦ ИНФРА-М,2024 - 179 с.(ВО)(П)</t>
  </si>
  <si>
    <t>ЛОГИКА ДЛЯ ЮРИСТОВ, ИЗД.2</t>
  </si>
  <si>
    <t>Корнакова С.В., Сергеева О.С.</t>
  </si>
  <si>
    <t>978-5-16-019318-2</t>
  </si>
  <si>
    <t>40.05.04, 40.02.01, 40.02.02, 40.03.01, 40.05.01, 40.05.02, 40.05.03, 44.03.05, 40.02.03</t>
  </si>
  <si>
    <t>Байкальский государственный университет</t>
  </si>
  <si>
    <t>648930.08.01</t>
  </si>
  <si>
    <t>Логика уголовно-процессуального доказывания: Уч.пос./ С.В.Корнакова-М.:НИЦ ИНФРА-М,2024-142 с.(ВО)(П)</t>
  </si>
  <si>
    <t>ЛОГИКА УГОЛОВНО-ПРОЦЕССУАЛЬНОГО ДОКАЗЫВАНИЯ</t>
  </si>
  <si>
    <t>Корнакова С.В.</t>
  </si>
  <si>
    <t>978-5-16-012576-3</t>
  </si>
  <si>
    <t>Рекомендовано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</si>
  <si>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174400.08.01</t>
  </si>
  <si>
    <t>Логико-языковые феномены в юриспруденции: Моногр./А.Ф.Черданцев-М.:Юр.Норма,НИЦ ИНФРА-М,2024-320с(П)</t>
  </si>
  <si>
    <t>ЛОГИКО-ЯЗЫКОВЫЕ ФЕНОМЕНЫ В ЮРИСПРУДЕНЦИИ</t>
  </si>
  <si>
    <t>Черданцев А. Ф.</t>
  </si>
  <si>
    <t>978-5-91768-257-0</t>
  </si>
  <si>
    <t>720661.03.01</t>
  </si>
  <si>
    <t>Материалы экстремистского характера...: Моногр. / Н.Ф.Бодров - М.:Юр.Норма, НИЦ ИНФРА-М,2022-160с(П)</t>
  </si>
  <si>
    <t>МАТЕРИАЛЫ ЭКСТРЕМИСТСКОГО ХАРАКТЕРА, РАСПРОСТРАНЯЕМЫЕ В СЕТИ ИНТЕРНЕТ: ПРОБЛЕМЫ СУДЕБНО-ЭКСПЕРТНОГО ИССЛЕДОВАНИЯ И ВОПРОСЫ КВАЛИФИКАЦИИ ПРЕСТУПЛЕНИЙ</t>
  </si>
  <si>
    <t>Бодров Н.Ф.</t>
  </si>
  <si>
    <t>978-5-00156-031-9</t>
  </si>
  <si>
    <t>078130.08.01</t>
  </si>
  <si>
    <t>Матрица преступности: Монография / Под ред. Овчинского В.С. - М.:НОРМА,2023.-112 с.(О)</t>
  </si>
  <si>
    <t>МАТРИЦА ПРЕСТУПНОСТИ</t>
  </si>
  <si>
    <t>Овчинский А. С., Чеботарева С. О., Овчинский В. С.</t>
  </si>
  <si>
    <t>978-5-468-00019-9</t>
  </si>
  <si>
    <t>Московский университет Министерства внутренних дел Российской Федерации имени В.Я. Кикотя, Рязанский</t>
  </si>
  <si>
    <t>750415.04.01</t>
  </si>
  <si>
    <t>Медицинское право: Уч. / Н.Г.Петрова - М.:НИЦ ИНФРА-М,2023 - 193 с.(ВО)(п)</t>
  </si>
  <si>
    <t>МЕДИЦИНСКОЕ ПРАВО</t>
  </si>
  <si>
    <t>Петрова Н.Г.</t>
  </si>
  <si>
    <t>978-5-16-018551-4</t>
  </si>
  <si>
    <t>40.03.01, 32.04.01, 40.04.01, 31.05.01, 31.05.02, 32.05.01, 31.05.03, 34.03.01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</si>
  <si>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34.03.01 «Сестринское дело» (квалификация (степень) «бакалавр») (протокол № 1 от 12.01.2022)</t>
  </si>
  <si>
    <t>Первый Санкт-Петербургский государственный медицинский университет им. академика И.П.Павлова</t>
  </si>
  <si>
    <t>758047.02.01</t>
  </si>
  <si>
    <t>Международная защита прав человека...: Уч.пос. / Ю.В.Самович - М.:ИЦ РИОР, НИЦ ИНФРА-М,2023 - 152 с.(ВО)(О)</t>
  </si>
  <si>
    <t>МЕЖДУНАРОДНАЯ ЗАЩИТА ПРАВ ЧЕЛОВЕКА</t>
  </si>
  <si>
    <t>Самович Ю.В., Шарифуллин Р.А.</t>
  </si>
  <si>
    <t>978-5-369-01871-2</t>
  </si>
  <si>
    <t>Кемеровский государственный университет</t>
  </si>
  <si>
    <t>015538.14.01</t>
  </si>
  <si>
    <t>Международное гуманитарное право: Уч. / О.И.Тиунов - 3 изд. - М.:Юр.Норма,НИЦ ИНФРА-М,2023-320с.(О)</t>
  </si>
  <si>
    <t>МЕЖДУНАРОДНОЕ ГУМАНИТАРНОЕ ПРАВО, ИЗД.3</t>
  </si>
  <si>
    <t>Тиунов О.И.</t>
  </si>
  <si>
    <t>978-5-91768-586-1</t>
  </si>
  <si>
    <t>40.05.04, 37.03.01, 40.03.01, 41.03.05, 40.04.01, 40.05.01, 40.05.02, 40.05.03, 44.03.05, 41.03.01</t>
  </si>
  <si>
    <t>778300.01.01</t>
  </si>
  <si>
    <t>Международное и европейское налог. право. Уч.пос. / Л.Л.Арзуманова-М.:Юр. НОРМА, НИЦ ИНФРА-М,2022.-224с(П)</t>
  </si>
  <si>
    <t>МЕЖДУНАРОДНОЕ И ЕВРОПЕЙСКОЕ НАЛОГОВОЕ ПРАВО</t>
  </si>
  <si>
    <t>Арзуманова Л.Л., Горлова Е.Н., Грачева Е.Ю. и др.</t>
  </si>
  <si>
    <t>978-5-00156-249-8</t>
  </si>
  <si>
    <t>40.03.01, 40.04.01, 40.05.01, 41.03.01</t>
  </si>
  <si>
    <t>638386.07.01</t>
  </si>
  <si>
    <t>Международное морское право (частное и публ.): Уч. / В.Н.Коваль -М.:Вуз.уч.,НИЦ ИНФРА-М,2023-228с(П)</t>
  </si>
  <si>
    <t>МЕЖДУНАРОДНОЕ МОРСКОЕ ПРАВО (ЧАСТНОЕ И ПУБЛИЧНОЕ)</t>
  </si>
  <si>
    <t>Коваль В.Н., Стаценко О.С., Никитина А.П. и др.</t>
  </si>
  <si>
    <t>978-5-9558-0524-5</t>
  </si>
  <si>
    <t>40.05.04, 40.03.01, 40.04.01, 40.05.01, 40.05.02, 40.05.03, 35.03.09</t>
  </si>
  <si>
    <t>Севастопольский государственный университет</t>
  </si>
  <si>
    <t>682755.03.01</t>
  </si>
  <si>
    <t>Международное налоговое право: Уч.пос. / В.А.Мачехин - М.:Юр.Норма, НИЦ ИНФРА-М,2022 - 128 с.(О)</t>
  </si>
  <si>
    <t>МЕЖДУНАРОДНОЕ НАЛОГОВОЕ ПРАВО</t>
  </si>
  <si>
    <t>Мачехин В.А., Арзуманова Л.Л., Горлова Е.Н. и др.</t>
  </si>
  <si>
    <t>978-5-91768-912-8</t>
  </si>
  <si>
    <t>171800.03.01</t>
  </si>
  <si>
    <t>Международное право и внутриг. право: Сборник... / Г.В.Игнатенко-М.:Юр.Норма, НИЦ ИНФРА-М,2019-416с</t>
  </si>
  <si>
    <t>МЕЖДУНАРОДНОЕ ПРАВО И ВНУТРИГОСУДАРСТВЕННОЕ ПРАВО: ПРОБЛЕМЫ СОПРЯЖЕННОСТИ И ВЗАИМОДЕЙСТВИЯ</t>
  </si>
  <si>
    <t>Игнатенко Г. В.</t>
  </si>
  <si>
    <t>978-5-91768-241-9</t>
  </si>
  <si>
    <t>300900.08.01</t>
  </si>
  <si>
    <t>Международное право. Практикум: Уч. пос./Е.В.Сафронова - 2 изд. - М.: РИОР: ИНФРА-М,2023-312с.(ВО)(о)</t>
  </si>
  <si>
    <t>МЕЖДУНАРОДНОЕ ПРАВО. ПРАКТИКУМ, ИЗД.2</t>
  </si>
  <si>
    <t>Сафронова Е. В., Абашева Е. А.</t>
  </si>
  <si>
    <t>978-5-369-01377-9</t>
  </si>
  <si>
    <t>40.05.04, 40.03.01, 40.05.01, 40.05.02, 40.05.03, 44.03.05</t>
  </si>
  <si>
    <t>Рекомендовано Научно-исследовательским институтом образования и науки в качестве учебно-методического пособия для студентов высших учебных заведений, обучающихся по направлению 030900.62 «Юриспруденция», квалификация (степень) — бакалавр</t>
  </si>
  <si>
    <t>319200.07.01</t>
  </si>
  <si>
    <t>Международное право: Уч. / Г.С.Стародубцев - 2изд. - М.:ИЦ РИОР,НИЦ ИНФРА-М,2022-416с(ВО)(п)</t>
  </si>
  <si>
    <t>МЕЖДУНАРОДНОЕ ПРАВО, ИЗД.2</t>
  </si>
  <si>
    <t>Стародубцев Г.С.</t>
  </si>
  <si>
    <t>978-5-369-01936-8</t>
  </si>
  <si>
    <t>40.05.04, 40.03.01, 41.03.05, 40.05.01, 40.05.02, 40.05.03, 44.03.05</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</si>
  <si>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</si>
  <si>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801664.01.01</t>
  </si>
  <si>
    <t>Международное право: Уч. / Л.А.Лазутин и др.-М.:Юр. НОРМА, НИЦ ИНФРА-М,2023.-656 с.(п)</t>
  </si>
  <si>
    <t>МЕЖДУНАРОДНОЕ ПРАВО</t>
  </si>
  <si>
    <t>Лазутин Л.А., Безбородов Ю.С., Федоров И.В. и др.</t>
  </si>
  <si>
    <t>978-5-00156-299-3</t>
  </si>
  <si>
    <t>40.05.04, 40.03.01, 42.03.02, 41.03.05, 41.04.05, 40.05.01, 40.05.02, 40.05.03, 38.05.02, 44.03.05, 41.03.01</t>
  </si>
  <si>
    <t>085130.10.01</t>
  </si>
  <si>
    <t>Международное право: Уч. / Отв. ред. Б.Р.Тузмухамедов - 4 изд. - М.: Норма:  НИЦ ИНФРА-М, 2023-576с.</t>
  </si>
  <si>
    <t>МЕЖДУНАРОДНОЕ ПРАВО, ИЗД.4</t>
  </si>
  <si>
    <t>Абашидзе А. Х., Верещетин В. С., Егоров С. А., Марочкин С. Ю.</t>
  </si>
  <si>
    <t>978-5-91768-469-7</t>
  </si>
  <si>
    <t>0414</t>
  </si>
  <si>
    <t>015838.25.01</t>
  </si>
  <si>
    <t>Международное право: Уч. / Отв.ред.Г.В.Игнатенко - 6 изд. - М.:Юр.Норма, НИЦ ИНФРА-М, 2023 -752с.(П)</t>
  </si>
  <si>
    <t>МЕЖДУНАРОДНОЕ ПРАВО, ИЗД.6</t>
  </si>
  <si>
    <t>Игнатенко Г.В., Тиунов О.И., Игнатенко Г.В.</t>
  </si>
  <si>
    <t>978-5-91768-368-3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</si>
  <si>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профессионального образования «Уральская государственная ю</t>
  </si>
  <si>
    <t>0613</t>
  </si>
  <si>
    <t>214700.06.01</t>
  </si>
  <si>
    <t>Международное право: Уч.пос. / Е.В.Гулин - 2 изд. - М.:ИЦ РИОР, НИЦ ИНФРА-М,2023 - 176 с.(ВО)(П)</t>
  </si>
  <si>
    <t>Гулин Е.В.</t>
  </si>
  <si>
    <t>978-5-369-01778-4</t>
  </si>
  <si>
    <t>Московский финансово-юридический университет</t>
  </si>
  <si>
    <t>214700.02.01</t>
  </si>
  <si>
    <t>Международное право: Уч.пос. / Е.В.Гулин - М.:ИЦ РИОР, НИЦ ИНФРА-М,2017.-168 с.-(ВО: Бакалавриат)(П)</t>
  </si>
  <si>
    <t>Гулин Е. В.</t>
  </si>
  <si>
    <t>978-5-369-01225-3</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</si>
  <si>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бакалавр)</t>
  </si>
  <si>
    <t>126650.08.01</t>
  </si>
  <si>
    <t>Международное право: Уч.пос. / Н.Н.Федощева - 2 изд. - М.:НИЦ ИНФРА-М,2024 - 398 с.(ВО: Бакалавр.)(П)</t>
  </si>
  <si>
    <t>Федощева Н.Н.</t>
  </si>
  <si>
    <t>978-5-16-018898-0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</si>
  <si>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8 от 22.06.2020)</t>
  </si>
  <si>
    <t>072760.06.01</t>
  </si>
  <si>
    <t>Международное право: Шпаргалка - 2 изд. - М.:ИЦ РИОР - 208 с.-(Шпаргалка [отрывная])(О)</t>
  </si>
  <si>
    <t>978-5-369-01610-7</t>
  </si>
  <si>
    <t>40.03.01, 41.03.05, 40.04.01, 41.04.05, 44.03.05</t>
  </si>
  <si>
    <t>122400.09.01</t>
  </si>
  <si>
    <t>Международное правоохранит.право: Моногр./ Ю.С.Ромашев,-3изд.2-М.:Юр.Норма, НИЦ ИНФРА-М,2023-352с(П)</t>
  </si>
  <si>
    <t>МЕЖДУНАРОДНОЕ ПРАВООХРАНИТЕЛЬНОЕ ПРАВО, ИЗД.3</t>
  </si>
  <si>
    <t>Ромашев Ю. С.</t>
  </si>
  <si>
    <t>978-5-91768-943-2</t>
  </si>
  <si>
    <t>122400.04.01</t>
  </si>
  <si>
    <t>Международное правоохранительное право: Моногр./Ю.С.Ромашев - 2 изд., доп.-М.:Юр.Норма, НИЦ ИНФРА-М,2015.-352 с.(п)</t>
  </si>
  <si>
    <t>МЕЖДУНАРОДНОЕ ПРАВООХРАНИТЕЛЬНОЕ ПРАВО, ИЗД.2</t>
  </si>
  <si>
    <t>Ромашев Ю.С.</t>
  </si>
  <si>
    <t>978-5-91768-384-3</t>
  </si>
  <si>
    <t>722493.03.01</t>
  </si>
  <si>
    <t>Международное правосудие как фактор интеграции: Моногр. / А.И.Ковлер - М.:Юр.Норма, НИЦ ИНФРА-М,2020-192 с.(П)</t>
  </si>
  <si>
    <t>МЕЖДУНАРОДНОЕ ПРАВОСУДИЕ КАК ФАКТОР ИНТЕГРАЦИИ</t>
  </si>
  <si>
    <t>978-5-00156-033-3</t>
  </si>
  <si>
    <t>420420.05.01</t>
  </si>
  <si>
    <t>Международное публичное право..:Моногр./ Е.В.Сафронова-М.:ИЦ РИОР:НИЦ ИНФРА-М,2023-133с.(Науч.мысль) (о)</t>
  </si>
  <si>
    <t>МЕЖДУНАРОДНОЕ ПУБЛИЧНОЕ ПРАВО: ТЕОРЕТИЧЕСКИЕ ПРОБЛЕМЫ</t>
  </si>
  <si>
    <t>Сафронова Е. В.</t>
  </si>
  <si>
    <t>978-5-369-01173-7</t>
  </si>
  <si>
    <t>641074.05.01</t>
  </si>
  <si>
    <t>Международное частное право. Практ.: Уч.пос. / Е.Л.Симатова-М.:ИЦ РИОР, НИЦ ИНФРА-М,2021-107с(ВО)(О)</t>
  </si>
  <si>
    <t>МЕЖДУНАРОДНОЕ ЧАСТНОЕ ПРАВО. ПРАКТИКУМ</t>
  </si>
  <si>
    <t>Симатова Е.Л.</t>
  </si>
  <si>
    <t>978-5-369-01609-1</t>
  </si>
  <si>
    <t>Рекомендовано в качестве учебного пособия для студентов высших учебных заведений, обучающихся по направлению «Юриспруденция» (квалификация (степень) «бакалавр»)</t>
  </si>
  <si>
    <t>030166.12.01</t>
  </si>
  <si>
    <t>Международное частное право: Практ. / М.М.Богуславский- 3 изд.-М.:Юр. НОРМА, ИНФРА-М ,2024-400с.(о)</t>
  </si>
  <si>
    <t>МЕЖДУНАРОДНОЕ ЧАСТНОЕ ПРАВО, ИЗД.3</t>
  </si>
  <si>
    <t>978-5-91768-084-2</t>
  </si>
  <si>
    <t>013308.24.01</t>
  </si>
  <si>
    <t>Международное частное право: Уч. / М.М.Богуславский - 7 изд. - М.:Юр.Норма, НИЦ ИНФРА-М,2023-672с(п)</t>
  </si>
  <si>
    <t>МЕЖДУНАРОДНОЕ ЧАСТНОЕ ПРАВО, ИЗД.7</t>
  </si>
  <si>
    <t>978-5-91768-645-5</t>
  </si>
  <si>
    <t>Рекомендовано Министерством образования РФ в качестве учебника для студентов высших учебных заведений, обучающихся по специальности 021100 "Юриспруденция"</t>
  </si>
  <si>
    <t>045550.11.01</t>
  </si>
  <si>
    <t>Международное частное право: Уч.пос./ Е.Б.Леанович- 5 изд. - М.: ИЦ РИОР: ИНФРА-М,2019-189с.(ВПО)(о)</t>
  </si>
  <si>
    <t>МЕЖДУНАРОДНОЕ ЧАСТНОЕ ПРАВО, ИЗД.5</t>
  </si>
  <si>
    <t>Леанович Е.Б.</t>
  </si>
  <si>
    <t>978-5-369-01296-3</t>
  </si>
  <si>
    <t>Белорусский государственный университет</t>
  </si>
  <si>
    <t>072770.05.01</t>
  </si>
  <si>
    <t>Международное частное право: Шпаргалка - 4изд. - М.:ИЦ РИОР,2016-110с.(Шпаргалка [отрывная])(о)</t>
  </si>
  <si>
    <t>МЕЖДУНАРОДНОЕ ЧАСТНОЕ ПРАВО, ИЗД.4</t>
  </si>
  <si>
    <t>978-5-369-01499-8</t>
  </si>
  <si>
    <t>275300.05.01</t>
  </si>
  <si>
    <t>Международное экологическое право и международ...:Моногр./Д.С.Боклан -М:Магистр:ИНФРА-М,2023-272с(о)</t>
  </si>
  <si>
    <t>МЕЖДУНАРОДНОЕ ЭКОЛОГИЧЕСКОЕ ПРАВО И МЕЖДУНАРОДНЫЕ ЭКОНОМИЧЕСКИЕ ОТНОШЕНИЯ</t>
  </si>
  <si>
    <t>Боклан Д.С.</t>
  </si>
  <si>
    <t>978-5-9776-0311-9</t>
  </si>
  <si>
    <t>40.03.01, 40.04.01, 38.04.01, 38.03.01</t>
  </si>
  <si>
    <t>Всероссийская академия внешней торговли Министерства экономического развития Российской Федерации</t>
  </si>
  <si>
    <t>789948.01.01</t>
  </si>
  <si>
    <t>Международно-правов. основы защиты гражданских объектов в... / Ю.В.Пузырева-М.:НИЦ ИНФРА-М,2023.-153 с(О)</t>
  </si>
  <si>
    <t>МЕЖДУНАРОДНО-ПРАВОВЫЕ ОСНОВЫ ЗАЩИТЫ ГРАЖДАНСКИХ ОБЪЕКТОВ В ПЕРИОД ВООРУЖЕННЫХ КОНФЛИКТОВ</t>
  </si>
  <si>
    <t>978-5-16-018012-0</t>
  </si>
  <si>
    <t>56.04.01, 56.04.03, 56.04.12, 40.04.01, 40.06.01, 56.07.01</t>
  </si>
  <si>
    <t>778843.01.01</t>
  </si>
  <si>
    <t>Международно-правовое регулир. противодействия преступ..: Моногр. / А.И.Мысина-М.:НИЦ ИНФРА-М,2022.-167с(О)</t>
  </si>
  <si>
    <t>МЕЖДУНАРОДНО-ПРАВОВОЕ РЕГУЛИРОВАНИЕ ПРОТИВОДЕЙСТВИЯ ПРЕСТУПЛЕНИЯМ В СФЕРЕ ИНФОРМАЦИОННЫХ ТЕХНОЛОГИЙ</t>
  </si>
  <si>
    <t>Мысина А.И.</t>
  </si>
  <si>
    <t>978-5-16-017743-4</t>
  </si>
  <si>
    <t>695439.06.01</t>
  </si>
  <si>
    <t>Международно-правовые аспекты семейного права..: Моногр. /Тарасова А.Е. - М.:НИЦ ИНФРА-М,2022-378с(П)</t>
  </si>
  <si>
    <t>МЕЖДУНАРОДНО-ПРАВОВЫЕ АСПЕКТЫ СЕМЕЙНОГО ПРАВА И ЗАЩИТЫ ПРАВ ДЕТЕЙ: ПРОБЛЕМЫ МЕЖОТРАСЛЕВОГО ВЗАИМОДЕЙСТВИЯ СЕМЕЙНОГО И ИНЫХ ОТРАСЛЕЙ ЧАСТНОГО И ПУБЛИЧНОГО ПРАВА В ОБЛАСТИ СЕМЕЙНЫХ ОТНОШЕНИЙ И ПРАВ ДЕТЕЙ: МЕЖДУНАРОДНЫЕ (УНИВЕРСАЛЬНЫЕ, РЕГИОНАЛЬНЫЕ) И НАЦИОНАЛЬНЫЕ ИНСТИТУТЫ</t>
  </si>
  <si>
    <t>Тарасова А.Е., Александрова А.В., Арзуманян А.Б. и др.</t>
  </si>
  <si>
    <t>978-5-16-014575-4</t>
  </si>
  <si>
    <t>757828.01.01</t>
  </si>
  <si>
    <t>Международно-правовые основы сотруд. гос.: Моногр. / К.И.Зимина-М.:НИЦ ИНФРА-М,2022.-187 с.(Науч.мысль)(О)</t>
  </si>
  <si>
    <t>МЕЖДУНАРОДНО-ПРАВОВЫЕ ОСНОВЫ СОТРУДНИЧЕСТВА ГОСУДАРСТВ ПО ПРОТИВОДЕЙСТВИЮ НЕЗАКОННОМУ ОБОРОТУ МЕДИЦИНСКОЙ ПРОДУКЦИИ</t>
  </si>
  <si>
    <t>Зимина К.И.</t>
  </si>
  <si>
    <t>978-5-16-017055-8</t>
  </si>
  <si>
    <t>645474.06.01</t>
  </si>
  <si>
    <t>Международные денежные расчеты: Уч.пос. / И.М.Кутузов - М.:Юр.Норма, НИЦ ИНФРА-М,2021-208 с.(П)</t>
  </si>
  <si>
    <t>МЕЖДУНАРОДНЫЕ ДЕНЕЖНЫЕ РАСЧЕТЫ</t>
  </si>
  <si>
    <t>Кутузов И.М., Пузырева Е.Н.</t>
  </si>
  <si>
    <t>978-5-91768-785-8</t>
  </si>
  <si>
    <t>650522.07.01</t>
  </si>
  <si>
    <t>Международные контракты и их регуляторы: Уч. / М.В.Мажорина - М.:Юр.Норма, НИЦ ИНФРА-М,2023-448с.(П)</t>
  </si>
  <si>
    <t>МЕЖДУНАРОДНЫЕ КОНТРАКТЫ И ИХ РЕГУЛЯТОРЫ</t>
  </si>
  <si>
    <t>Мажорина М.В., Алимова Я.О.</t>
  </si>
  <si>
    <t>978-5-91768-815-2</t>
  </si>
  <si>
    <t>169950.08.01</t>
  </si>
  <si>
    <t>Международные преступления: сов. проблемы..: Моногр. / А.Ю.Скуратова-М.:Юр.Норма, ИНФРА-М,2023-160с.(О)</t>
  </si>
  <si>
    <t>МЕЖДУНАРОДНЫЕ ПРЕСТУПЛЕНИЯ: СОВРЕМЕННЫЕ ПРОБЛЕМЫ КВАЛИФИКАЦИИ</t>
  </si>
  <si>
    <t>Скуратова А. Ю.</t>
  </si>
  <si>
    <t>978-5-91768-232-7</t>
  </si>
  <si>
    <t>175300.07.01</t>
  </si>
  <si>
    <t>Международные съезды по вопросам угол. права..: Моногр. / П.И. Люблинский - М: НИЦ Инфра-М, 2022-350с. (п)</t>
  </si>
  <si>
    <t>МЕЖДУНАРОДНЫЕ СЪЕЗДЫ ПО ВОПРОСАМ УГОЛОВНОГО ПРАВА ЗА ДЕСЯТЬ ЛЕТ (1905-1915)</t>
  </si>
  <si>
    <t>Люблинский П. И., Овчинский В. С., Федоров А. В.</t>
  </si>
  <si>
    <t>978-5-16-004417-0</t>
  </si>
  <si>
    <t>453900.02.01</t>
  </si>
  <si>
    <t>Международные труд. стандарты и рос. труд. право: Моногр. /С.Ю.Головина -Юр.Норма, НИЦ ИНФРА-М, 2019 -256с(о)</t>
  </si>
  <si>
    <t>МЕЖДУНАРОДНЫЕ ТРУДОВЫЕ СТАНДАРТЫ И РОССИЙСКОЕ ТРУДОВОЕ ПРАВО: ПЕРСПЕКТИВЫ КООРДИНАЦИИ</t>
  </si>
  <si>
    <t>Головина С.Ю., Лютов Н.Л., Без автора</t>
  </si>
  <si>
    <t>978-5-91768-678-3</t>
  </si>
  <si>
    <t>46.03.02, 40.03.01, 38.03.01, 38.03.04, 38.03.03, 44.03.05, 41.03.06</t>
  </si>
  <si>
    <t>680306.03.01</t>
  </si>
  <si>
    <t>Международные финансовые стандарты в заруб. доктрине.../ В.В.Кудряшов-М.:НИЦ ИНФРА-М,2023.-249с(О)</t>
  </si>
  <si>
    <t>МЕЖДУНАРОДНЫЕ ФИНАНСОВЫЕ СТАНДАРТЫ В ЗАРУБЕЖНОЙ ДОКТРИНЕ МЕЖДУНАРОДНОГО ФИНАНСОВОГО ПРАВА</t>
  </si>
  <si>
    <t>Кудряшов В.В.</t>
  </si>
  <si>
    <t>978-5-16-013737-7</t>
  </si>
  <si>
    <t>40.03.01, 40.04.01, 38.04.01, 38.04.08, 38.03.01, 44.03.05</t>
  </si>
  <si>
    <t>741186.01.01</t>
  </si>
  <si>
    <t>Меры административного принуждения, примененные к юрлицам в связи с наруш.лицензионных требований: Моногр.-М.:Юр.Норма,2020.-136 с.(П)</t>
  </si>
  <si>
    <t>МЕРЫ АДМИНИСТРАТИВНОГО ПРИНУЖДЕНИЯ, ПРИМЕНЕННЫЕ К ЮРИДИЧЕСКИМ ЛИЦАМ В СВЯЗИ С НАРУШЕНИЯМИ ЛИЦЕНЗИОННЫХ ТРЕБОВАНИЙ</t>
  </si>
  <si>
    <t>Джамирзе Б.Ю.</t>
  </si>
  <si>
    <t>978-5-00156-084-5</t>
  </si>
  <si>
    <t>Московский государственный технический университет им. Н.Э. Баумана</t>
  </si>
  <si>
    <t>337900.01.01</t>
  </si>
  <si>
    <t>Меры обеспеч. производ.по делам об адм. правонаруш. /А.Ю.Соколов -Юр.Норма, 2015 -320с.</t>
  </si>
  <si>
    <t>МЕРЫ ОБЕСПЕЧЕНИЯ ПРОИЗВОДСТВА ПО ДЕЛАМ ОБ АДМИНИСТРАТИВНЫХ ПРАВОНАРУШЕНИЯХ</t>
  </si>
  <si>
    <t>978-5-91768-593-9</t>
  </si>
  <si>
    <t>299800.03.01</t>
  </si>
  <si>
    <t>Меры укрепления доверия и безоп. (политико-прав..): Моногр./Л.А.Лазутин-М.:НИЦ ИНФРА-М,2020-162с(О)</t>
  </si>
  <si>
    <t>МЕРЫ УКРЕПЛЕНИЯ ДОВЕРИЯ И БЕЗОПАСНОСТИ (ПОЛИТИКО-ПРАВОВОЕ ИССЛЕДОВАНИЕ)</t>
  </si>
  <si>
    <t>Лазутин Л.А.</t>
  </si>
  <si>
    <t>978-5-16-010147-7</t>
  </si>
  <si>
    <t>269400.04.01</t>
  </si>
  <si>
    <t>Меры юридической ответств.: Моногр./ Д.А.Липинский- 2 изд.-М.:ИЦ РИОР, НИЦ ИНФРА-М,2023.-231с(О)</t>
  </si>
  <si>
    <t>МЕРЫ ЮРИДИЧЕСКОЙ ОТВЕТСТВЕННОСТИ, ИЗД.2</t>
  </si>
  <si>
    <t>Липинский Д. А., Хачатуров Р. Л., Шишкин А. Г.</t>
  </si>
  <si>
    <t>978-5-369-01335-9</t>
  </si>
  <si>
    <t>269400.03.01</t>
  </si>
  <si>
    <t>Меры юридической ответственности: Моногр./ Д.А.Липинский -М.:ИЦ РИОР, НИЦ ИНФРА-М,2020.-231 с.(Науч.мысль)(О)</t>
  </si>
  <si>
    <t>МЕРЫ ЮРИДИЧЕСКОЙ ОТВЕТСТВЕННОСТИ</t>
  </si>
  <si>
    <t>168900.06.01</t>
  </si>
  <si>
    <t>Местное самоупр. в совр. России... Ист.-прав. аспекты: Моногр. / И.В.Бабичев-Норма:ИНФРА-М, 2020-528 (п)</t>
  </si>
  <si>
    <t>МЕСТНОЕ САМОУПРАВЛЕНИЕ В СОВРЕМЕННОЙ РОССИИ: СТАНОВЛЕНИЕ И РАЗВИТИЕ. ИСТОРИКО-ПРАВОВЫЕ АСПЕКТЫ</t>
  </si>
  <si>
    <t>Бабичев И. В., Смирнов Б. В.</t>
  </si>
  <si>
    <t>978-5-91768-223-5</t>
  </si>
  <si>
    <t>40.03.01, 40.04.01, 38.04.04</t>
  </si>
  <si>
    <t>169300.08.01</t>
  </si>
  <si>
    <t>Месть и возмездие в древнем праве: Моногр./ Г.В. Мальцев. - М.: Норма:  НИЦ ИНФРА-М, 2022. - 736 с. (п)</t>
  </si>
  <si>
    <t>МЕСТЬ И ВОЗМЕЗДИЕ В ДРЕВНЕМ ПРАВЕ</t>
  </si>
  <si>
    <t>978-5-91768-217-4</t>
  </si>
  <si>
    <t>773944.02.01</t>
  </si>
  <si>
    <t>Методика расслед. преступл., совершенных...: Уч. / Е.В.Шишкина-М.:НИЦ ИНФРА-М,2023.-255 с.(ВО)П)</t>
  </si>
  <si>
    <t>МЕТОДИКА РАССЛЕДОВАНИЯ ПРЕСТУПЛЕНИЙ, СОВЕРШЕННЫХ НЕСОВЕРШЕННОЛЕТНИМИ</t>
  </si>
  <si>
    <t>Шишкина Е.В.</t>
  </si>
  <si>
    <t>978-5-16-017932-2</t>
  </si>
  <si>
    <t>40.05.04, 40.04.01, 40.05.01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</si>
  <si>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(квалификация «юрист») (протокол № 9 от 17.11.2022)</t>
  </si>
  <si>
    <t>095610.14.01</t>
  </si>
  <si>
    <t>Методика расслед. преступл.: теор. основы: Моногр. / В.Е.Корноухов -М:Норма,НИЦ ИНФРА-М,2023-224с(О)</t>
  </si>
  <si>
    <t>МЕТОДИКА РАССЛЕДОВАНИЯ ПРЕСТУПЛЕНИЙ: ТЕОРЕТИЧЕСКИЕ ОСНОВЫ</t>
  </si>
  <si>
    <t>Корноухов В. Е.</t>
  </si>
  <si>
    <t>978-5-91768-263-1</t>
  </si>
  <si>
    <t>797090.01.01</t>
  </si>
  <si>
    <t>Методолог. проблемы уголов. права и криминологии..: Моногр. / Юзиханов Э.Г.-М.:НИЦ ИНФРА-М,2023.-166 с.(П)</t>
  </si>
  <si>
    <t>МЕТОДОЛОГИЧЕСКИЕ ПРОБЛЕМЫ УГОЛОВНОГО ПРАВА И КРИМИНОЛОГИИ: ЭПИСТЕМОЛОГИЧЕСКИЙ РАКУРС</t>
  </si>
  <si>
    <t>Шиханов В.Н., Юзиханова Э.Г.</t>
  </si>
  <si>
    <t>978-5-16-018198-1</t>
  </si>
  <si>
    <t>40.05.04, 40.04.01, 40.05.01, 40.05.02, 44.05.01, 40.05.03, 40.06.01</t>
  </si>
  <si>
    <t>Университет прокуратуры Российской Федерации, ф-л Иркутский юридический институт</t>
  </si>
  <si>
    <t>803414.01.01</t>
  </si>
  <si>
    <t>Методологические основания исслед. правовых ценностей: Моногр. / Н.А.Власенко-М.:Юр. НОРМА,2023.-200 с.(п)</t>
  </si>
  <si>
    <t>МЕТОДОЛОГИЧЕСКИЕ ОСНОВАНИЯ ИССЛЕДОВАНИЯ ПРАВОВЫХ ЦЕННОСТЕЙ</t>
  </si>
  <si>
    <t>978-5-00156-305-1</t>
  </si>
  <si>
    <t>230100.09.01</t>
  </si>
  <si>
    <t>Методологические основы судеб.-экон.эксперт..: Моногр. / Т.В.Котенева - 3 изд. - М.:НИЦ ИНФРА-М,2022-219с(П)</t>
  </si>
  <si>
    <t>МЕТОДОЛОГИЧЕСКИЕ ОСНОВЫ СУДЕБНО-ЭКОНОМИЧЕСКОЙ ЭКСПЕРТИЗЫ, ИЗД.3</t>
  </si>
  <si>
    <t>Котенева Т.В.</t>
  </si>
  <si>
    <t>978-5-16-014306-4</t>
  </si>
  <si>
    <t>38.04.08</t>
  </si>
  <si>
    <t>Самарский государственный экономический университет</t>
  </si>
  <si>
    <t>230100.06.01</t>
  </si>
  <si>
    <t>Методологические основы судеб.-экон.эксперт..:Моногр./Т.В.Котенева,2изд.-М.:НИЦ ИНФРА-М,2018-212с(п)</t>
  </si>
  <si>
    <t>МЕТОДОЛОГИЧЕСКИЕ ОСНОВЫ СУДЕБНО-ЭКОНОМИЧЕСКОЙ ЭКСПЕРТИЗЫ, ИЗД.2</t>
  </si>
  <si>
    <t>КотеневаТ.В.</t>
  </si>
  <si>
    <t>978-5-16-011317-3</t>
  </si>
  <si>
    <t>693932.05.01</t>
  </si>
  <si>
    <t>Методология права. Предмет, функции...:Моногр. / Д.А.Керимов - 3-изд.-М.:Юр.Норма, НИЦ ИНФРА-М,2023-524с(П)</t>
  </si>
  <si>
    <t>МЕТОДОЛОГИЯ ПРАВА. ПРЕДМЕТ, ФУНКЦИИ, ПРОБЛЕМЫ ФИЛОСОФИИ ПРАВА, ИЗД.3</t>
  </si>
  <si>
    <t>978-5-91768-966-1</t>
  </si>
  <si>
    <t>40.03.01, 41.03.01, 41.03.06</t>
  </si>
  <si>
    <t>801665.01.01</t>
  </si>
  <si>
    <t>Механизм административно-правового регулир. в сфере ВО: Моногр. / С.М.Рукавишников-М.:Юр. НОРМА,2023.-128с(П)</t>
  </si>
  <si>
    <t>МЕХАНИЗМ АДМИНИСТРАТИВНО-ПРАВОВОГО РЕГУЛИРОВАНИЯ В СФЕРЕ ВЫСШЕГО ОБРАЗОВАНИЯ И ПОДГОТОВКИ НАУЧНО-ПЕДАГОГИЧЕСКИХ КАДРОВ</t>
  </si>
  <si>
    <t>С.М. Рукавишников</t>
  </si>
  <si>
    <t>978-5-00156-300-6</t>
  </si>
  <si>
    <t>44.04.02, 40.04.01, 38.04.03, 40.06.01, 44.06.01</t>
  </si>
  <si>
    <t>135500.07.01</t>
  </si>
  <si>
    <t>Механизм гражданско-правовой защиты /Ю.Н. Андреев -М.: Юр.Норма, НИЦ ИНФРА-М, 2022. -464 с.</t>
  </si>
  <si>
    <t>МЕХАНИЗМ ГРАЖДАНСКО-ПРАВОВОЙ ЗАЩИТЫ</t>
  </si>
  <si>
    <t>Андреев Ю. Н.</t>
  </si>
  <si>
    <t>978-5-91768-128-3</t>
  </si>
  <si>
    <t>372500.02.01</t>
  </si>
  <si>
    <t>Механизм обеспечения исп. обязанности по уплате налогов /С.А. Ядрихинский -Юр.Норма, НИЦ ИНФРА-М, 2017 -144с</t>
  </si>
  <si>
    <t>МЕХАНИЗМ ОБЕСПЕЧЕНИЯ ИСПОЛНЕНИЯ ОБЯЗАННОСТИ ПО УПЛАТЕ НАЛОГОВ: ПРОБЛЕМЫ ТЕОРИИ И ПРАКТИКИ</t>
  </si>
  <si>
    <t>Ядрихинский С.А., Грачева Е.Ю.</t>
  </si>
  <si>
    <t>978-5-91768-624-0</t>
  </si>
  <si>
    <t>40.03.01, 38.03.01, 44.03.01, 44.03.05</t>
  </si>
  <si>
    <t>632857.02.98</t>
  </si>
  <si>
    <t>Механизм правового мониторинга / Д.Б.Горохов и др. - М.:НИЦ ИНФРА-М,2017 - 160 с.-(ИЗиСП)(О)</t>
  </si>
  <si>
    <t>МЕХАНИЗМ ПРАВОВОГО МОНИТОРИНГА</t>
  </si>
  <si>
    <t>Горохов Д.Б., Каширкина А.А., Морозов А.Н. и др.</t>
  </si>
  <si>
    <t>978-5-16-012071-3</t>
  </si>
  <si>
    <t>638288.02.01</t>
  </si>
  <si>
    <t>Механизм этической ответственности судьи.: Моногр. / М.И.Клеандров-М.:Юр.Норма,НИЦ ИНФРА-М,2017-240с</t>
  </si>
  <si>
    <t>МЕХАНИЗМ ЭТИЧЕСКОЙ ОТВЕТСТВЕННОСТИ СУДЬИ: ПРОБЛЕМЫ ФОРМИРОВАНИЯ</t>
  </si>
  <si>
    <t>Клеандров М.И.</t>
  </si>
  <si>
    <t>978-5-91768-757-5</t>
  </si>
  <si>
    <t>795016.01.01</t>
  </si>
  <si>
    <t>Миграционная деят. как вид правоохранит. деят.: Моногр. / К.В.Трифонова-М.:НИЦ ИНФРА-М,2023.-443 с.(п)</t>
  </si>
  <si>
    <t>МИГРАЦИОННАЯ ДЕЯТЕЛЬНОСТЬ КАК ВИД ПРАВООХРАНИТЕЛЬНОЙ ДЕЯТЕЛЬНОСТИ</t>
  </si>
  <si>
    <t>Трифонова К.В.</t>
  </si>
  <si>
    <t>978-5-16-018204-9</t>
  </si>
  <si>
    <t>40.04.01, 41.04.05, 40.05.01, 40.05.02, 40.06.01, 41.06.01</t>
  </si>
  <si>
    <t>Российский государственный университет правосудия, Крымский ф-л</t>
  </si>
  <si>
    <t>699269.04.01</t>
  </si>
  <si>
    <t>Миграционное законодательство РФ: тенденции.../Андриченко Л.В.-М.:Юр.Норма, НИЦ ИНФРА-М,2022-392с(П)</t>
  </si>
  <si>
    <t>МИГРАЦИОННОЕ ЗАКОНОДАТЕЛЬСТВО РОССИЙСКОЙ ФЕДЕРАЦИИ: ТЕНДЕНЦИИ РАЗВИТИЯ И ПРАКТИКА ПРИМЕНЕНИЯ</t>
  </si>
  <si>
    <t>Андриченко Л.В., Плюгина И.В.</t>
  </si>
  <si>
    <t>978-5-91768-989-0</t>
  </si>
  <si>
    <t>746304.01.01</t>
  </si>
  <si>
    <t>Миграция как способ реализации экологич. прав граждан: Моногр. / В.И.Евтушенко-М.:Юр.Норма,2020.-176 с.(П)</t>
  </si>
  <si>
    <t>МИГРАЦИЯ КАК СПОСОБ РЕАЛИЗАЦИИ ЭКОЛОГИЧЕСКИХ ПРАВ ГРАЖДАН</t>
  </si>
  <si>
    <t>Евтушенко В.И., Шпаковский Ю.Г.</t>
  </si>
  <si>
    <t>978-5-00156-105-7</t>
  </si>
  <si>
    <t>40.05.04, 40.04.01, 40.05.02, 40.06.01</t>
  </si>
  <si>
    <t>320900.06.01</t>
  </si>
  <si>
    <t>Мифологизация политической и правовой жизни: Моногр./Е.А.Лукашева - М.: Норма: ИНФРА-М,2023-272с.(п)</t>
  </si>
  <si>
    <t>МИФОЛОГИЗАЦИЯ ПОЛИТИЧЕСКОЙ И ПРАВОВОЙ ЖИЗНИ</t>
  </si>
  <si>
    <t>Лукашева Е.А.</t>
  </si>
  <si>
    <t>978-5-91768-567-0</t>
  </si>
  <si>
    <t>756453.01.01</t>
  </si>
  <si>
    <t>Мнимая конкуренция: проблемы и пути их решения: Моногр.- М.:Юр.Норма, НИЦ ИНФРА-М,2021.-112 с.(О)</t>
  </si>
  <si>
    <t>МНИМАЯ КОНКУРЕНЦИЯ: ПРОБЛЕМЫ И ПУТИ ИХ РЕШЕНИЯ</t>
  </si>
  <si>
    <t>978-5-00156-168-2</t>
  </si>
  <si>
    <t>673972.04.01</t>
  </si>
  <si>
    <t>Модели правоотнош. по усынов.:срав.характ.закон. РФ:Моногр./Е.А.Татаринцева-М.:НИЦ ИНФРА-М,2023-258с</t>
  </si>
  <si>
    <t>МОДЕЛИ ПРАВООТНОШЕНИЙ ПО УСЫНОВЛЕНИЮ: СРАВНИТЕЛЬНАЯ ХАРАКТЕРИСТИКА ЗАКОНОДАТЕЛЬСТВА РОССИЙСКОЙ ФЕДЕРАЦИИ И СОЕДИНЕННЫХ ШТАТОВ АМЕРИКИ</t>
  </si>
  <si>
    <t>Татаринцева Е.А.</t>
  </si>
  <si>
    <t>978-5-16-013610-3</t>
  </si>
  <si>
    <t>Светлоградский многопрофильный колледж</t>
  </si>
  <si>
    <t>699383.03.01</t>
  </si>
  <si>
    <t>Модернизация административного законодательства: Моногр. / А.М.Абакирова-М.:НИЦ ИНФРА-М,2020-496с(П)</t>
  </si>
  <si>
    <t>МОДЕРНИЗАЦИЯ АДМИНИСТРАТИВНОГО ЗАКОНОДАТЕЛЬСТВА (ЦЕЛИ,ЗАДАЧИ, ПРИНЦИПЫ И АКТУАЛЬНЫЕ НАПРАВЛЕНИЯ)</t>
  </si>
  <si>
    <t>Абакирова А.М., Абдыраев М.А., Василевич Г.А. и др.</t>
  </si>
  <si>
    <t>978-5-16-014691-1</t>
  </si>
  <si>
    <t>46.03.02, 40.03.01, 40.04.01, 40.05.01, 40.05.02, 38.03.04, 44.03.05</t>
  </si>
  <si>
    <t>733603.01.01</t>
  </si>
  <si>
    <t>Модернизация гос. регулир. деят. в области связи: Науч.-практ. пос. / А.А.Ефремов и др.-М.:НИЦ ИНФРА-М,2020.-152 с.(П)</t>
  </si>
  <si>
    <t>МОДЕРНИЗАЦИЯ ГОСУДАРСТВЕННОГО РЕГУЛИРОВАНИЯ ДЕЯТЕЛЬНОСТИ В ОБЛАСТИ СВЯЗИ</t>
  </si>
  <si>
    <t>Ефремов А.А., Лещенков Ф.А., Мефодьева К.А. и др.</t>
  </si>
  <si>
    <t>978-5-16-016076-4</t>
  </si>
  <si>
    <t>459650.04.01</t>
  </si>
  <si>
    <t>Модернизация информационных отнош. и информац..: Моногр. / Л.К.Терещенко-М.:НИЦ ИНФРА-М,2020.-227 с.(О)</t>
  </si>
  <si>
    <t>МОДЕРНИЗАЦИЯ ИНФОРМАЦИОННЫХ ОТНОШЕНИЙ И ИНФОРМАЦИОННОГО ЗАКОНОДАТЕЛЬСТВА</t>
  </si>
  <si>
    <t>Терещенко Л.К.</t>
  </si>
  <si>
    <t>978-5-16-006123-8</t>
  </si>
  <si>
    <t>423550.06.01</t>
  </si>
  <si>
    <t>Модернизация судебной власти...: Моногр. / Е.М.Переплеснина-М.:НИЦ ИНФРА-М,2018-248с.(Науч.мысль)(п)</t>
  </si>
  <si>
    <t>МОДЕРНИЗАЦИЯ СУДЕБНОЙ ВЛАСТИ В КОНТЕКСТЕ ВЗАИМОДЕЙСТВИЯ КОНСТИТУЦИОННОГО И МЕЖДУНАРОДНОГО ПРАВА</t>
  </si>
  <si>
    <t>Переплеснина Е.М., Нудненко Л.А.</t>
  </si>
  <si>
    <t>978-5-16-011656-3</t>
  </si>
  <si>
    <t>675414.06.01</t>
  </si>
  <si>
    <t>Модное право: Моногр. / Н.А.Шебанова - М.:Юр.Норма, НИЦ ИНФРА-М,2023 - 176 с.(П)</t>
  </si>
  <si>
    <t>МОДНОЕ ПРАВО</t>
  </si>
  <si>
    <t>Шебанова Н.А.</t>
  </si>
  <si>
    <t>978-5-91768-892-3</t>
  </si>
  <si>
    <t>640773.04.01</t>
  </si>
  <si>
    <t>Мотив преступления как генет. признак субъекта: Моногр. / Н.Г.Иванов - М.:НИЦ ИНФРА-М,2022 -108с.(О)</t>
  </si>
  <si>
    <t>МОТИВ ПРЕСТУПЛЕНИЯ КАК ГЕНЕТИЧЕСКИЙ ПРИЗНАК СУБЪЕКТА</t>
  </si>
  <si>
    <t>Иванов Н.Г.</t>
  </si>
  <si>
    <t>978-5-16-012721-7</t>
  </si>
  <si>
    <t>631720.05.01</t>
  </si>
  <si>
    <t>Муниципальное право России: практ.: Уч.пос. / С.Г.Соловьев-М.:НИЦ ИНФРА-М,2023-158с(ВО:Бакалавр.)(О)</t>
  </si>
  <si>
    <t>МУНИЦИПАЛЬНОЕ ПРАВО РОССИИ: ПРАКТИКУМ</t>
  </si>
  <si>
    <t>Соловьев С.Г.</t>
  </si>
  <si>
    <t>978-5-16-011932-8</t>
  </si>
  <si>
    <t>Рекомендовано Учебно-методическим объединением по юридическому образованию вузов Российской Федерации в качестве практикума для студентов образовательных организаций, обучающихся по направлению подготовки 40.03.01 «Юриспруденция", (квалификация (степень) «бакалавр")</t>
  </si>
  <si>
    <t>Южно-Уральский государственный университет, ф-л в. г.Миассе</t>
  </si>
  <si>
    <t>656049.03.01</t>
  </si>
  <si>
    <t>Муниципальное право России: Уч. / Г.Н.Чеботарев - 3-изд. - М.:Юр.Норма, НИЦ ИНФРА-М,2020 - 416 с.(П)</t>
  </si>
  <si>
    <t>МУНИЦИПАЛЬНОЕ ПРАВО РОССИИ, ИЗД.3</t>
  </si>
  <si>
    <t>Чеботарев Г.Н., Бородач М.В., Гладун Е.Ф. и др.</t>
  </si>
  <si>
    <t>978-5-91768-834-3</t>
  </si>
  <si>
    <t>021000.11.01</t>
  </si>
  <si>
    <t>Муниципальное право России: Уч. / И.В.Выдрин - 4изд. - М.:Юр.Норма,НИЦ ИНФРА-М,2015 - 256с.(п)</t>
  </si>
  <si>
    <t>МУНИЦИПАЛЬНОЕ ПРАВО РОССИИ, ИЗД.4</t>
  </si>
  <si>
    <t>Выдрин И. В.</t>
  </si>
  <si>
    <t>978-5-91768-321-8</t>
  </si>
  <si>
    <t>021000.13.01</t>
  </si>
  <si>
    <t>Муниципальное право России: Уч. / И.В.Выдрин -5 изд.-М.:Юр.Норма, НИЦ ИНФРА-М,2023.-264 с.(П)</t>
  </si>
  <si>
    <t>МУНИЦИПАЛЬНОЕ ПРАВО РОССИИ, ИЗД.5</t>
  </si>
  <si>
    <t>978-5-00156-266-5</t>
  </si>
  <si>
    <t>060650.08.01</t>
  </si>
  <si>
    <t>Муниципальное право России: Уч.пос. / П.А.Астафичев - 2 изд. - М.:ИЦ РИОР, НИЦ ИНФРА-М,2023 - 480 с.-(ВО)(П)</t>
  </si>
  <si>
    <t>МУНИЦИПАЛЬНОЕ ПРАВО РОССИИ, ИЗД.2</t>
  </si>
  <si>
    <t>978-5-369-01752-4</t>
  </si>
  <si>
    <t>Рекомендовано ГОУ Московская государственная юридическая академия для использов. в качестве учеб. пос. в обр. учреждениях, реализующих образовательные прогр. в области высшего и доп. проф. образования по напр. и спец "Юриспруденция"</t>
  </si>
  <si>
    <t>074050.10.01</t>
  </si>
  <si>
    <t>Муниципальное право РФ: Уч.пос. / А.Н.Миронов, - 3-е изд.-М.:ИД Форум, НИЦ ИНФРА-М,2020-223с(СПО)(П)</t>
  </si>
  <si>
    <t>МУНИЦИПАЛЬНОЕ ПРАВО РОССИЙСКОЙ ФЕДЕРАЦИИ, ИЗД.3</t>
  </si>
  <si>
    <t>Миронов А. Н.</t>
  </si>
  <si>
    <t>978-5-8199-0586-9</t>
  </si>
  <si>
    <t>40.02.01, 40.02.02, 40.03.01</t>
  </si>
  <si>
    <t>Допущено Министерством образования РФв качестве учебного пособия для студентов учреждений среднего профессионального образования, обучающихся по специальностям правоведческого профиля</t>
  </si>
  <si>
    <t>074050.11.01</t>
  </si>
  <si>
    <t>Муниципальное право РФ: Уч.пос. / А.Н.Миронов, - 4-е изд.-М.:НИЦ ИНФРА-М,2024.-222 с..-(П)</t>
  </si>
  <si>
    <t>МУНИЦИПАЛЬНОЕ ПРАВО РОССИЙСКОЙ ФЕДЕРАЦИИ, ИЗД.4</t>
  </si>
  <si>
    <t>978-5-16-016289-8</t>
  </si>
  <si>
    <t>682987.07.01</t>
  </si>
  <si>
    <t>Муниципальное право РФ: Уч.пос. / И.А.Алексеев - 3 изд.-М.:НИЦ ИНФРА-М,2023.-254 с.(СПО)(П)</t>
  </si>
  <si>
    <t>Алексеев И.А., Адамоков Б.Б., Белявский Д.С. и др.</t>
  </si>
  <si>
    <t>978-5-16-013975-3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</si>
  <si>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40.02.00 «Юриспруденция»</t>
  </si>
  <si>
    <t>Пятигорский государственный университет</t>
  </si>
  <si>
    <t>226700.11.01</t>
  </si>
  <si>
    <t>Муниципальное право РФ: Уч.пос. / И.А.Алексеев и др. - 3 изд. - М.:НИЦ ИНФРА-М,2023 - 254 с.(ВО)</t>
  </si>
  <si>
    <t>978-5-16-012177-2</t>
  </si>
  <si>
    <t>40.05.04, 40.02.01, 40.02.02, 40.03.01, 40.05.01, 40.05.02, 40.05.03, 38.03.04, 40.02.03</t>
  </si>
  <si>
    <t>Рекомендуется федеральным государственным бюджетным образовательным учреждением высшего образования «Московская государственная юридическая академия имени О.Е. Кутафина» в качестве учебного пособия к использованию в образовательных учреждениях, реализующих образовательные программы высшего образования (дополнительного профессионального образования), по дисциплине «Муниципальное право» в рамках направления подготовки 40.03.01 «Юриспруденция» (квалификация (степень) «бакалавр»)</t>
  </si>
  <si>
    <t>683222.03.01</t>
  </si>
  <si>
    <t>Муниципальное право: Практ. / В.В.Комарова - М.:Юр.Норма, НИЦ ИНФРА-М,2022 - 160 с.-(СПО)(о)</t>
  </si>
  <si>
    <t>МУНИЦИПАЛЬНОЕ ПРАВО</t>
  </si>
  <si>
    <t>Комарова В.В., Фадеев В.И., Без автора</t>
  </si>
  <si>
    <t>978-5-91768-921-0</t>
  </si>
  <si>
    <t>765821.05.01</t>
  </si>
  <si>
    <t>Муниципальное право: Уч.пос. / А.Н.Чашин-М.:НИЦ ИНФРА-М,2023.-209 с.(ВО: Бакалавриат)(П)</t>
  </si>
  <si>
    <t>978-5-16-017293-4</t>
  </si>
  <si>
    <t>21.02.04, 21.02.05, 40.02.02, 40.02.03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</si>
  <si>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2 от 09.02.2022)</t>
  </si>
  <si>
    <t>792151.01.01</t>
  </si>
  <si>
    <t>Муниципальное право: Уч.пос./ А.Н.Чашин-М.:НИЦ ИНФРА-М,2023.-209 с.(СПО)(П)</t>
  </si>
  <si>
    <t>978-5-16-018016-8</t>
  </si>
  <si>
    <t>40.05.04, 40.03.01, 44.04.04, 40.05.01, 40.05.02, 21.03.02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</si>
  <si>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 (протокол № 6 от 08.06.2022)</t>
  </si>
  <si>
    <t>654243.05.01</t>
  </si>
  <si>
    <t>Муниципальное управ.и местное самоуправ.: Уч. / Алексеев И.А. - М.:НИЦ ИНФРА-М,2023 - 353 с.(ВО)(П)</t>
  </si>
  <si>
    <t>МУНИЦИПАЛЬНОЕ УПРАВЛЕНИЕ И МЕСТНОЕ САМОУПРАВЛЕНИЕ</t>
  </si>
  <si>
    <t>978-5-16-013173-3</t>
  </si>
  <si>
    <t>Рекомендовано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t>
  </si>
  <si>
    <t>704210.03.01</t>
  </si>
  <si>
    <t>Муниципальное управление в демократ. гос.: Моногр. / А.И.Черкасов - М.:Юр.Норма,НИЦ ИНФРА-М,2022-224с(П)</t>
  </si>
  <si>
    <t>МУНИЦИПАЛЬНОЕ УПРАВЛЕНИЕ В ДЕМОКРАТИЧЕСКИХ ГОСУДАРСТВАХ: ОРГАНИЗАЦИЯ И ПРОБЛЕМЫ ФУНКЦИОНИРОВНИЯ</t>
  </si>
  <si>
    <t>Черкасов А.И.</t>
  </si>
  <si>
    <t>978-5-91768-611-0</t>
  </si>
  <si>
    <t>724491.03.01</t>
  </si>
  <si>
    <t>Надзор прокурора за возбужд. и расслед. уголовных дел: Моногр. / К.А.Таболина-М.:Юр.Норма,2021.-320 с.(П)</t>
  </si>
  <si>
    <t>НАДЗОР ПРОКУРОРА ЗА ВОЗБУЖДЕНИЕМ И РАССЛЕДОВАНИЕМ УГОЛОВНЫХ ДЕЛ</t>
  </si>
  <si>
    <t>Таболина К.А.</t>
  </si>
  <si>
    <t>978-5-00156-034-0</t>
  </si>
  <si>
    <t>40.04.01, 40.05.02, 40.06.01</t>
  </si>
  <si>
    <t>385200.06.01</t>
  </si>
  <si>
    <t>Наднациональное право и государственный..: Моногр. /В.Е.Чиркин -М.:Юр.Норма, НИЦ ИНФРА-М,2022-40с(О)</t>
  </si>
  <si>
    <t>НАДНАЦИОНАЛЬНОЕ ПРАВО И ГОСУДАРСТВЕННЫЙ СУВЕРЕНИТЕТ (НЕКОТОРЫЕ ПРОБЛЕМЫ ТЕОРИИ)</t>
  </si>
  <si>
    <t>978-5-91768-651-6</t>
  </si>
  <si>
    <t>768794.03.01</t>
  </si>
  <si>
    <t>Назначение судебных экспертиз: Уч.пос. / В.Н.Карагодин.-М.:НИЦ ИНФРА-М,2024.-227 с.(ВО: Магистр.)(П)</t>
  </si>
  <si>
    <t>НАЗНАЧЕНИЕ СУДЕБНЫХ ЭКСПЕРТИЗ</t>
  </si>
  <si>
    <t>Карагодин В.Н., Надоненко О.Н., Николаенкова А.В. и др.</t>
  </si>
  <si>
    <t>978-5-16-017436-5</t>
  </si>
  <si>
    <t>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</si>
  <si>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(квалификация (степень) «магистр») (протокол № 3 от 09.03.2022)</t>
  </si>
  <si>
    <t>Московская академия Следственного комитета Российской Федерации</t>
  </si>
  <si>
    <t>702817.05.01</t>
  </si>
  <si>
    <t>Налоговое право (общая часть) в схемах..: ч.пос. / Л.Л.Арзуманова-М.:Юр.Норма, НИЦ ИНФРА-М,2021-36с</t>
  </si>
  <si>
    <t>НАЛОГОВОЕ ПРАВО (ОБЩАЯ ЧАСТЬ) В СХЕМАХ И ТАБЛИЦАХ</t>
  </si>
  <si>
    <t>Арзуманова Л.Л., Грачева Е.Ю., Болтинова О.В. и др.</t>
  </si>
  <si>
    <t>978-5-91768-559-5</t>
  </si>
  <si>
    <t>40.05.04, 40.03.01, 40.05.01, 40.05.02, 40.05.03, 38.03.01, 44.03.01, 44.03.05</t>
  </si>
  <si>
    <t>485700.01.01</t>
  </si>
  <si>
    <t>Налоговое право в решен.Конст.Суда РФ 2014г.: Сб./С.Г.Пепеляев-М.:Юр.Норма,НИЦ ИНФРА-М,2016-320с.(о)</t>
  </si>
  <si>
    <t>НАЛОГОВОЕ ПРАВО В РЕШЕНИЯХ КОНСТИТУЦИОННОГО СУДА РФ 2014 ГОДА: ПО МАТЕРИАЛАМ XII МЕЖДУНАР.НАУЧ.ПРАКТ.КОНФ. 17-18 АПРЕЛЯ 2015 Г., МОСКВА</t>
  </si>
  <si>
    <t>ПепеляевС.Г., ЗавязочниковаМ.В.</t>
  </si>
  <si>
    <t>978-5-91768-718-6</t>
  </si>
  <si>
    <t>768617.01.01</t>
  </si>
  <si>
    <t>Налоговое право государств ЕАЭС: Уч. / А.Н.Козырин - М.:Юр.Норма, НИЦ ИНФРА-М,2022 - 388 с.(П)</t>
  </si>
  <si>
    <t>НАЛОГОВОЕ ПРАВО ГОСУДАРСТВ ЕАЭС</t>
  </si>
  <si>
    <t>Козырин А.Н.</t>
  </si>
  <si>
    <t>978-5-00156-212-2</t>
  </si>
  <si>
    <t>701649.03.01</t>
  </si>
  <si>
    <t>Налоговое право: общая часть: Практикум / Л.Л.Арзуманова-М.:Юр.Норма, НИЦ ИНФРА-М,2023.-52 с.(О)</t>
  </si>
  <si>
    <t>НАЛОГОВОЕ ПРАВО: ОБЩАЯ ЧАСТЬ</t>
  </si>
  <si>
    <t>Арзуманова Л.Л.</t>
  </si>
  <si>
    <t>978-5-91768-996-8</t>
  </si>
  <si>
    <t>814141.01.01</t>
  </si>
  <si>
    <t>Налоговое право: Уч. / А.С.Жутаев-М.:Юр. НОРМА, НИЦ ИНФРА-М,2024.-240 с.(п)</t>
  </si>
  <si>
    <t>НАЛОГОВОЕ ПРАВО</t>
  </si>
  <si>
    <t>Жутаев А.С., Покачалова Е.В., Садчиков М.Н.</t>
  </si>
  <si>
    <t>978-5-00156-332-7</t>
  </si>
  <si>
    <t>717331.08.01</t>
  </si>
  <si>
    <t>Налоговое право: Уч. / Л.Л.Арзуманова - 2 изд.-М.:Юр. НОРМА, НИЦ ИНФРА-М,2024.-152 с.(СПО)(п)</t>
  </si>
  <si>
    <t>НАЛОГОВОЕ ПРАВО, ИЗД.2</t>
  </si>
  <si>
    <t>978-5-00156-323-5</t>
  </si>
  <si>
    <t>40.02.01, 40.02.03</t>
  </si>
  <si>
    <t>717331.07.01</t>
  </si>
  <si>
    <t>Налоговое право: Уч. / Л.Л.Арзуманова - М.:Юр.Норма,НИЦ ИНФРА-М,2023 - 152 с.(СПО) (П)</t>
  </si>
  <si>
    <t>978-5-00156-017-3</t>
  </si>
  <si>
    <t>729568.04.01</t>
  </si>
  <si>
    <t>Налоговое право: Уч.пос. / О.В.Колесниченко - М.:ИЦ РИОР, НИЦ ИНФРА-М,2023 - 206 с.(ВО)(П)</t>
  </si>
  <si>
    <t>Колесниченко О.В.</t>
  </si>
  <si>
    <t>978-5-369-01840-8</t>
  </si>
  <si>
    <t>672422.05.01</t>
  </si>
  <si>
    <t>Налоговый контроль. Налог. проверки: Уч.пос. / О.В.Болтинова - 2 изд.-М.:Юр.Норма, НИЦ ИНФРА-М,2022.-160 с.(П)</t>
  </si>
  <si>
    <t>НАЛОГОВЫЙ КОНТРОЛЬ. НАЛОГОВЫЕ ПРОВЕРКИ, ИЗД.2</t>
  </si>
  <si>
    <t>Болтинова О.В., Арзуманова Л.Л., Лагкуева И.В. и др.</t>
  </si>
  <si>
    <t>978-5-00156-199-6</t>
  </si>
  <si>
    <t>40.05.04, 40.03.01, 40.04.01, 40.05.01, 40.05.02, 40.05.03, 38.03.01, 44.03.01, 44.03.05, 40.02.03</t>
  </si>
  <si>
    <t>712996.01.01</t>
  </si>
  <si>
    <t>Налоговый контроль. Налоговые проверки: уч.пос. / О.В.Болтинова и др.-М.:Юр. НОРМА, НИЦ ИНФРА-М,2019.-160 с..-(СПО)(П</t>
  </si>
  <si>
    <t>НАЛОГОВЫЙ КОНТРОЛЬ. НАЛОГОВЫЕ ПРОВЕРКИ</t>
  </si>
  <si>
    <t>978-5-00156-012-8</t>
  </si>
  <si>
    <t>40.02.01, 40.02.02, 38.02.06, 38.02.01, 40.02.03</t>
  </si>
  <si>
    <t>672422.04.01</t>
  </si>
  <si>
    <t>Налоговый контроль. Налоговые проверки: Уч.пос. /О.В.Болтинова-М.:Юр.Норма, НИЦ ИНФРА-М,2021-160с(П)</t>
  </si>
  <si>
    <t>978-5-91768-881-7</t>
  </si>
  <si>
    <t>120900.08.01</t>
  </si>
  <si>
    <t>Наследственное право: Уч.пос. / А.Е.Казанцева, - 2 изд.-М.:Юр.Норма, НИЦ ИНФРА-М,2024.-224 с.(П)</t>
  </si>
  <si>
    <t>НАСЛЕДСТВЕННОЕ ПРАВО, ИЗД.2</t>
  </si>
  <si>
    <t>Казанцева А. Е.</t>
  </si>
  <si>
    <t>978-5-91768-981-4</t>
  </si>
  <si>
    <t>Алтайский государственный университет</t>
  </si>
  <si>
    <t>142150.09.01</t>
  </si>
  <si>
    <t>Наследственное право: Уч.пос. / С.З.Женетль - 4изд.-М.:ИЦ РИОР,НИЦ ИНФРА-М,2018-188с(ВО:Бакалавриат)</t>
  </si>
  <si>
    <t>НАСЛЕДСТВЕННОЕ ПРАВО, ИЗД.4</t>
  </si>
  <si>
    <t>Женетль С. З., Володина О. В.</t>
  </si>
  <si>
    <t>978-5-369-01475-2</t>
  </si>
  <si>
    <t>40.05.04, 40.02.01, 40.03.01, 40.04.01, 40.05.01, 40.05.02, 40.05.03, 38.03.04, 44.03.05</t>
  </si>
  <si>
    <t>Допущено Министерством образования РФ в качестве учебного пособия для студентов высших учебных заведений, обучащихся по направлению "Юриспруденция" и по специальности "Юриспруденция"</t>
  </si>
  <si>
    <t>648040.03.01</t>
  </si>
  <si>
    <t>Научно-практ.коммент.к соглашению о единых принципах... / Н.В.Путило - М.:НИЦ ИНФРА-М,2020-96с.(О)</t>
  </si>
  <si>
    <t>НАУЧНО-ПРАКТИЧЕСКИЙ КОММЕНТАРИЙ К СОГЛАШЕНИЮ О ЕДИНЫХ ПРИНЦИПАХ И ПРАВИЛАХ ОБРАЩЕНИЯ ЛЕКАРСТВЕННЫХ СРЕДСТВ В РАМКАХ ЕВРАЗИЙСКОГО ЭКОНОМИЧЕСКОГО СОЮЗА ОТ 23 ДЕКАБРЯ 2014 Г. (ПОСТАТЕЙНЫЙ)</t>
  </si>
  <si>
    <t>Путило Н.В.</t>
  </si>
  <si>
    <t>978-5-16-012475-9</t>
  </si>
  <si>
    <t>40.03.01, 31.05.01, 31.05.02, 31.05.03, 44.03.05</t>
  </si>
  <si>
    <t>796510.01.01</t>
  </si>
  <si>
    <t>Научно-практич. комментарий к Федеральному закону от 3.08.2018 г./ Е.А.Галиновская-М.:НИЦ ИНФРА-М,2023.-184 с(п)</t>
  </si>
  <si>
    <t>НАУЧНО-ПРАКТИЧЕСКИЙ КОММЕНТАРИЙ К ФЕДЕРАЛЬНОМУ ЗАКОНУ ОТ 3 АВГУСТА 2018 Г. № 280-ФЗ «ОБ ОРГАНИЧЕСКОЙ ПРОДУКЦИИ И О ВНЕСЕНИИ ИЗМЕНЕНИЙ В ОТДЕЛЬНЫЕ ЗАКО</t>
  </si>
  <si>
    <t>Галиновская Е.А., Игнатьева И.А., Калмыкова А.В. и др.</t>
  </si>
  <si>
    <t>978-5-16-018142-4</t>
  </si>
  <si>
    <t>35.04.04, 35.06.01</t>
  </si>
  <si>
    <t>796511.01.01</t>
  </si>
  <si>
    <t>Научно-практич. комментарий к Федеральному закону... / С.А.Боголюбов-М.:НИЦ ИНФРА-М,2023.-192 с.(п)</t>
  </si>
  <si>
    <t>НАУЧНО-ПРАКТИЧЕСКИЙ КОММЕНТАРИЙ К ФЕДЕРАЛЬНОМУ ЗАКОНУ ОТ 1 МАЯ 1999 Г. № 94-ФЗ «ОБ ОХРАНЕ ОЗЕРА БАЙКАЛ»</t>
  </si>
  <si>
    <t>Боголюбов С.А., Галиновская Е.А., Горохов Д.Б. и др.</t>
  </si>
  <si>
    <t>978-5-16-018143-1</t>
  </si>
  <si>
    <t>06.04.01, 20.04.01, 06.06.01, 20.06.01, 40.06.01</t>
  </si>
  <si>
    <t>357300.04.01</t>
  </si>
  <si>
    <t>Научно-техн.обесп.уч.эксп...: Науч-практ.пос / Е.Р.Россинская-Юр.Норма,НИЦ ИНФРА-М,2024-160с(О)</t>
  </si>
  <si>
    <t>НАУЧНО-ТЕХНИЧЕСКОЕ ОБЕСПЕЧЕНИЕ УЧЕБНЫХ ЭКСПЕРТНО-КРИМИНАЛИСТИЧЕСКИХ ЛАБОРАТОРИЙ</t>
  </si>
  <si>
    <t>Россинская Е.Р., Галяшина Е.И., Подкатилина М.Л. и др.</t>
  </si>
  <si>
    <t>978-5-91768-617-2</t>
  </si>
  <si>
    <t>757872.02.01</t>
  </si>
  <si>
    <t>Национальная безопасность, юр. ответственность и безответс. / Д.А.Липинский-М.:ИЦ РИОР, НИЦ ИНФРА-М,2022-578 с.(П)</t>
  </si>
  <si>
    <t>НАЦИОНАЛЬНАЯ БЕЗОПАСНОСТЬ, ЮРИДИЧЕСКАЯ ОТВЕТСТВЕННОСТЬ И БЕЗОТВЕТСТВЕННОСТЬ</t>
  </si>
  <si>
    <t>Липинский Д.А., Макарейко Н.В., Мусаткина А.А. и др.</t>
  </si>
  <si>
    <t>978-5-369-01874-3</t>
  </si>
  <si>
    <t>57.04.01, 57.05.01, 57.05.02, 40.05.01, 40.06.01, 41.06.01, 41.03.06</t>
  </si>
  <si>
    <t>699388.02.01</t>
  </si>
  <si>
    <t>Национальное и международно-правовое регулир...: Моногр./ Т.Я.Хабриева-М.:НИЦ ИНФРА-М,2023-392с(П)</t>
  </si>
  <si>
    <t>НАЦИОНАЛЬНОЕ И МЕЖДУНАРОДНО-ПРАВОВОЕ РЕГУЛИРОВАНИЕ ПРОТИВОДЕЙСТВИЯ ТОРГОВЛЕ ЛЮДЬМИ И РАБСТВУ В ИХ СОВРЕМЕННЫХ ФОРМАХ</t>
  </si>
  <si>
    <t>Хабриева Т.Я., Автономов А.С., Артемов В.Ю. и др.</t>
  </si>
  <si>
    <t>978-5-16-014693-5</t>
  </si>
  <si>
    <t>705355.03.01</t>
  </si>
  <si>
    <t>Начала теории законодательных дефектов: Монография / А.Ю.Викулин-М.:Юр.Норма,ИНФРА-М,2023.-344 с.(П)</t>
  </si>
  <si>
    <t>НАЧАЛА ТЕОРИИ ЗАКОНОДАТЕЛЬНЫХ ДЕФЕКТОВ</t>
  </si>
  <si>
    <t>Викулин А.Ю.</t>
  </si>
  <si>
    <t>978-5-91768-628-8</t>
  </si>
  <si>
    <t>189150.06.01</t>
  </si>
  <si>
    <t>Недействительность антисоциал.сделок: Моногр. / С.С.Желонкин-М.:НИЦ ИНФРА-М,2022-159с(Науч.мысль)(о)</t>
  </si>
  <si>
    <t>НЕДЕЙСТВИТЕЛЬНОСТЬ АНТИСОЦИАЛЬНЫХ СДЕЛОК</t>
  </si>
  <si>
    <t>Желонкин С.С.</t>
  </si>
  <si>
    <t>978-5-16-005755-2</t>
  </si>
  <si>
    <t>46.03.02, 40.03.01, 40.04.01, 38.03.04, 44.03.05, 39.03.02</t>
  </si>
  <si>
    <t>Санкт-Петербургский университет Министерства внутренних дел России</t>
  </si>
  <si>
    <t>675412.06.01</t>
  </si>
  <si>
    <t>Некоммерческие организации в межд.и нац.праве / Т.Я.Хабриева-М.:Юр.Норма, НИЦ ИНФРА-М,2022-304с(П)</t>
  </si>
  <si>
    <t>НЕКОММЕРЧЕСКИЕ ОРГАНИЗАЦИИ В МЕЖДУНАРОДНОМ И НАЦИОНАЛЬНОМ ПРАВЕ</t>
  </si>
  <si>
    <t>Хабриева Т.Я., Чиркин С.В.</t>
  </si>
  <si>
    <t>978-5-91768-891-6</t>
  </si>
  <si>
    <t>40.02.01, 40.03.01, 40.04.01, 38.03.04, 40.02.03</t>
  </si>
  <si>
    <t>280300.05.01</t>
  </si>
  <si>
    <t>Некоторые проблемы теории и философии права: Моногр. / С.И. Захарцев - М.: Норма, 2022-208с. (п)</t>
  </si>
  <si>
    <t>НЕКОТОРЫЕ ПРОБЛЕМЫ ТЕОРИИ И ФИЛОСОФИИ ПРАВА</t>
  </si>
  <si>
    <t>Захарцев С. И., Сальников В. П.</t>
  </si>
  <si>
    <t>978-5-91768-491-8</t>
  </si>
  <si>
    <t>40.03.01, 44.03.05, 41.03.01, 41.03.06</t>
  </si>
  <si>
    <t>Российский государственный социальный университет</t>
  </si>
  <si>
    <t>337800.07.01</t>
  </si>
  <si>
    <t>Нераскрытая преступность: Моногр. / М.П. Клейменов - М.:Норма:НИЦ ИНФРА-М, 2023 - 208 с. (о)</t>
  </si>
  <si>
    <t>НЕРАСКРЫТАЯ ПРЕСТУПНОСТЬ</t>
  </si>
  <si>
    <t>Клейменов М.П., Клейменов И.М.</t>
  </si>
  <si>
    <t>978-5-91768-592-2</t>
  </si>
  <si>
    <t>40.03.01, 40.04.01, 40.05.02, 40.05.03</t>
  </si>
  <si>
    <t>749703.04.01</t>
  </si>
  <si>
    <t>Новые институты бюджет. права в условиях цифр. рев.: Моногр. / Н.А.Поветкина-М.:Юр.Норма, НИЦ ИНФРА-М,2023.-192 с.(П)</t>
  </si>
  <si>
    <t>НОВЫЕ ИНСТИТУТЫ БЮДЖЕТНОГО ПРАВА В УСЛОВИЯХ ЦИФРОВОЙ РЕВОЛЮЦИИ</t>
  </si>
  <si>
    <t>Поветкина Н.А., Артюхин Р.Е.</t>
  </si>
  <si>
    <t>978-5-00156-144-6</t>
  </si>
  <si>
    <t>40.03.01, 38.04.09, 38.04.01, 38.04.08, 38.04.04, 38.06.01, 38.03.01, 38.03.04</t>
  </si>
  <si>
    <t>246600.05.01</t>
  </si>
  <si>
    <t>Нормативность и авторитарность. Пересечения идей: Моногр. / И.А.Исаев - М.:Юр.Норма, НИЦ ИНФРА-М,2022 - 432 с.(О)</t>
  </si>
  <si>
    <t>НОРМАТИВНОСТЬ И АВТОРИТАРНОСТЬ. ПЕРЕСЕЧЕНИЯ ИДЕЙ</t>
  </si>
  <si>
    <t>978-5-91768-437-6</t>
  </si>
  <si>
    <t>741212.03.01</t>
  </si>
  <si>
    <t>Нормы международного "мягкого права"  в правовой сис. РФ / Р.М Халафян -М.:Норма.2022.-256 с.215(П)</t>
  </si>
  <si>
    <t>НОРМЫ МЕЖДУНАРОДНОГО "МЯГКОГО ПРАВА"  В ПРАВОВОЙ СИСТЕМЕ РФ:РАЗВИТИЕ МЕХАНИЗМА НАЦИОНАЛЬНО-ПРАВОВОЙ ИМПЛЕМЕНТАЦИИ МЕЖДУНАРОДНЫХ НОРМ</t>
  </si>
  <si>
    <t>Халафян Р.М.</t>
  </si>
  <si>
    <t>978-5-00156-089-0</t>
  </si>
  <si>
    <t>275400.05.01</t>
  </si>
  <si>
    <t>Нормы процессуального права: теор...: Моногр. / Р.В.Шагиева-М.:Юр.Норма, НИЦ ИНФРА-М,2022-176с(О)</t>
  </si>
  <si>
    <t>НОРМЫ ПРОЦЕССУАЛЬНОГО ПРАВА: ТЕОРИЯ И ПРАКТИКА ИХ РЕАЛИЗАЦИИ</t>
  </si>
  <si>
    <t>Шагиева Р.В.</t>
  </si>
  <si>
    <t>978-5-91768-487-1</t>
  </si>
  <si>
    <t>40.03.01, 40.04.01, 44.03.05, 41.03.01, 41.03.06</t>
  </si>
  <si>
    <t>094230.05.01</t>
  </si>
  <si>
    <t>Нотариат в РФ: Уч.пос./О.В.Романовская-2изд.-М.:ИЦ РИОР,НИЦ ИНФРА-М,2022-139 с.(О.к/ф)</t>
  </si>
  <si>
    <t>НОТАРИАТ В РОССИЙСКОЙ ФЕДЕРАЦИИ, ИЗД.2</t>
  </si>
  <si>
    <t>Романовская О. В.</t>
  </si>
  <si>
    <t>978-5-369-01505-6</t>
  </si>
  <si>
    <t>057850.12.01</t>
  </si>
  <si>
    <t>Нотариат: Уч.пос. / А.Н.Миронов - 4 изд. - М.:НИЦ ИНФРА-М,2019 - 195 с.-(СПО)(П)</t>
  </si>
  <si>
    <t>НОТАРИАТ, ИЗД.4</t>
  </si>
  <si>
    <t>978-5-16-014201-2</t>
  </si>
  <si>
    <t>Допущено Министерством образования и науки Российской Федерации в качестве учебного пособия для студентов среднего профессионального образования, обучающихся по специальностям правоведческого профиля</t>
  </si>
  <si>
    <t>057850.05.01</t>
  </si>
  <si>
    <t>Нотариат: уч.пос. / А.Н.Миронов, - 3-е изд., испр. и доп.-М.:ИД Форум, НИЦ ИНФРА-М,2015.-224 с..-(СПО)(П 7БЦ)</t>
  </si>
  <si>
    <t>НОТАРИАТ, ИЗД.3</t>
  </si>
  <si>
    <t>978-5-8199-0513-5</t>
  </si>
  <si>
    <t>Допущено Министерством образования РФ в качестве учебника для студентов учреждений среднего профессионального образования, обучающихся по правоведческим специальностям</t>
  </si>
  <si>
    <t>0312</t>
  </si>
  <si>
    <t>747742.02.01</t>
  </si>
  <si>
    <t>Нравственное государство. Рус. взгляд...: Моногр. / С.Н.Бабурин-М.:Юр. НОРМА, НИЦ ИНФРА-М,2023.-536 с.(п)</t>
  </si>
  <si>
    <t>НРАВСТВЕННОЕ ГОСУДАРСТВО. РУССКИЙ ВЗГЛЯД НА ЦЕННОСТИ КОНСТИТУЦИОНАЛИЗМА</t>
  </si>
  <si>
    <t>978-5-00156-136-1</t>
  </si>
  <si>
    <t>356900.09.01</t>
  </si>
  <si>
    <t>Нравственные основания права: Монография / Г.В.Мальцев - М.:Юр.Норма, НИЦ ИНФРА-М,2023.-400 с.(П)</t>
  </si>
  <si>
    <t>НРАВСТВЕННЫЕ ОСНОВАНИЯ ПРАВА, ИЗД.2</t>
  </si>
  <si>
    <t>Мальцев Г.В.</t>
  </si>
  <si>
    <t>978-5-91768-614-1</t>
  </si>
  <si>
    <t>803649.01.01</t>
  </si>
  <si>
    <t>О миграционном учете иностр. граждан и лиц без гражданства в РФ: ФЗ - М.:НИЦ ИНФРА-М,2023.-50 с.(о)</t>
  </si>
  <si>
    <t>О МИГРАЦИОННОМ УЧЕТЕ ИНОСТРАННЫХ ГРАЖДАН И ЛИЦ БЕЗ ГРАЖДАНСТВА В РОССИЙСКОЙ ФЕДЕРАЦИИ: ФЗ</t>
  </si>
  <si>
    <t>978-5-16-018468-5</t>
  </si>
  <si>
    <t>Федеральный закон</t>
  </si>
  <si>
    <t>780625.03.01</t>
  </si>
  <si>
    <t>О несении службы участковым уполномоченным полиции: инструкция - М.:НИЦ ИНФРА-М,2024.-61 с.(О)</t>
  </si>
  <si>
    <t>О НЕСЕНИИ СЛУЖБЫ УЧАСТКОВЫМ УПОЛНОМОЧЕННЫМ ПОЛИЦИИ НА ОБСЛУЖИВАЕМОМ АДМИНИСТРАТИВНОМ УЧАСТКЕ И ОРГАНИЗАЦИИ ЭТОЙ ДЕЯТЕЛЬНОСТИ</t>
  </si>
  <si>
    <t>978-5-16-017758-8</t>
  </si>
  <si>
    <t>Инструкция</t>
  </si>
  <si>
    <t>40.05.04, 40.02.01, 40.02.02, 40.03.01, 40.05.01, 40.05.02, 40.05.03, 10.05.05, 40.02.03</t>
  </si>
  <si>
    <t>054880.15.01</t>
  </si>
  <si>
    <t>О преступлениях и наказаниях: Моногр. / Ч.Беккариа - М.:НИЦ ИНФРА-М,2024 - 183 с.(Б-ка криминолога)(О)</t>
  </si>
  <si>
    <t>О ПРЕСТУПЛЕНИЯХ И НАКАЗАНИЯХ</t>
  </si>
  <si>
    <t>Беккариа Ч., Овчинский В.С.</t>
  </si>
  <si>
    <t>978-5-16-009740-4</t>
  </si>
  <si>
    <t>764759.04.01</t>
  </si>
  <si>
    <t>О службе в органах внутр. дел РФ и внесении изменений. ФЗ - М.:НИЦ ИНФРА-М,2023 - 142 с.(О)</t>
  </si>
  <si>
    <t>О СЛУЖБЕ В ОРГАНАХ ВНУТРЕННИХ ДЕЛ РОССИЙСКОЙ ФЕДЕРАЦИИ И ВНЕСЕНИИ ИЗМЕНЕНИЙ В ОТДЕЛЬНЫЕ ЗАКОНОДАТЕЛЬНЫЕ АКТЫ РОССИЙСКОЙ ФЕДЕРАЦИИ</t>
  </si>
  <si>
    <t>978-5-16-017169-2</t>
  </si>
  <si>
    <t>459600.04.01</t>
  </si>
  <si>
    <t>О Совете судебной власти РФ: Монография / М.И.Клеандров - М.:Юр.Норма, НИЦ ИНФРА-М,2019.-160 с.(п)</t>
  </si>
  <si>
    <t>О СОВЕТЕ СУДЕБНОЙ ВЛАСТИ РОССИЙСКОЙ ФЕДЕРАЦИИ</t>
  </si>
  <si>
    <t>978-5-91768-684-4</t>
  </si>
  <si>
    <t>788727.01.01</t>
  </si>
  <si>
    <t>О статусе военнослужащих : ФЗ. -М.:НИЦ ИНФРА-М,2022.-115 с..-(Федеральные нормы и правила)(о)</t>
  </si>
  <si>
    <t>О СТАТУСЕ ВОЕННОСЛУЖАЩИХ: ФЕДЕРАЛЬНЫЙ ЗАКОН</t>
  </si>
  <si>
    <t>978-5-16-017927-8</t>
  </si>
  <si>
    <t>56.05.01, 56.05.05</t>
  </si>
  <si>
    <t>744091.03.01</t>
  </si>
  <si>
    <t>Об арбитраже (третейском разбирательстве) в РФ №382-ФЗ - М.:НИЦ ИНФРА-М,2022 - 60 с.(О)</t>
  </si>
  <si>
    <t>ОБ АРБИТРАЖЕ (ТРЕТЕЙСКОМ РАЗБИРАТЕЛЬСТВЕ) В РФ №382-ФЗ</t>
  </si>
  <si>
    <t>978-5-16-016481-6</t>
  </si>
  <si>
    <t>40.02.02, 40.03.01</t>
  </si>
  <si>
    <t>744114.03.01</t>
  </si>
  <si>
    <t>Об арбитражных судах в РФ №1-ФКЗ - М.:НИЦ ИНФРА-М,2022 - 40 с.(О)</t>
  </si>
  <si>
    <t>ОБ АРБИТРАЖНЫХ СУДАХ В РФ №1-ФКЗ</t>
  </si>
  <si>
    <t>978-5-16-016482-3</t>
  </si>
  <si>
    <t>754329.01.01</t>
  </si>
  <si>
    <t>Об обязательном гос. страховании жизни и здоровья военнослужащих, граждан... - М.:НИЦ ИНФРА-М,2021-16 с.(О)</t>
  </si>
  <si>
    <t>ОБ ОБЯЗАТЕЛЬНОМ ГОСУДАРСТВЕННОМ СТРАХОВАНИИ ЖИЗНИ И ЗДОРОВЬЯ ВОЕННОСЛУЖАЩИХ, ГРАЖДАН, ПРИЗВАННЫХ НА ВОЕННЫЕ СБОРЫ, ЛИЦ РЯДОВОГО И НАЧАЛЬСТВУЮЩЕГО СОСТАВА ОРГАНОВ ВНУТРЕННИХ ДЕЛ РФ</t>
  </si>
  <si>
    <t>978-5-16-016850-0</t>
  </si>
  <si>
    <t>40.03.01, 39.03.02</t>
  </si>
  <si>
    <t>764758.01.01</t>
  </si>
  <si>
    <t>Об учреждениях и органах, исполняющих уголов. наказ. в виде лиш. свободы - М.:НИЦ ИНФРА-М,2021 - 48 с.(О)</t>
  </si>
  <si>
    <t>ОБ УЧРЕЖДЕНИЯХ И ОРГАНАХ, ИСПОЛНЯЮЩИХ УГОЛОВНЫЕ НАКАЗАНИЯ В ВИДЕ ЛИШЕНИЯ СВОБОДЫ</t>
  </si>
  <si>
    <t>978-5-16-017170-8</t>
  </si>
  <si>
    <t>56.05.01, 40.02.02, 40.03.01, 40.04.01, 40.05.02, 40.06.01</t>
  </si>
  <si>
    <t>357600.03.01</t>
  </si>
  <si>
    <t>Обвинение и оправдание в постсовет. угол. юстиции / В.В.Волков-М.:Юр.Норма, НИЦ ИНФРА-М,2018.-320 с.</t>
  </si>
  <si>
    <t>ОБВИНЕНИЕ И ОПРАВДАНИЕ В ПОСТСОВЕТСКОЙ УГОЛОВНОЙ ЮСТИЦИИ</t>
  </si>
  <si>
    <t>Волков В.В.</t>
  </si>
  <si>
    <t>978-5-91768-620-2</t>
  </si>
  <si>
    <t>40.02.01, 40.02.02, 40.03.01, 40.06.01, 44.03.05</t>
  </si>
  <si>
    <t>Институт проблем правоприменения</t>
  </si>
  <si>
    <t>741914.05.01</t>
  </si>
  <si>
    <t>Обеспечение защиты прав человека в РФ: Уч. / Под ред. Комкова Г.Н. - М.:НИЦ ИНФРА-М,2023 - 339 с(ВО)(П)</t>
  </si>
  <si>
    <t>ОБЕСПЕЧЕНИЕ ЗАЩИТЫ ПРАВ ЧЕЛОВЕКА В РОССИЙСКОЙ ФЕДЕРАЦИИ</t>
  </si>
  <si>
    <t>Абаева Е.А., Аверьянова Н.Н., Басова А.В. и др.</t>
  </si>
  <si>
    <t>978-5-16-016624-7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</si>
  <si>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(степень) «бакалавр») (протокол № 7 от 22.09.2021)</t>
  </si>
  <si>
    <t>Саратовский государственный университет им. Н.Г. Чернышевского</t>
  </si>
  <si>
    <t>656395.07.01</t>
  </si>
  <si>
    <t>Обеспечение прав авторов лит. произв.: Моногр./ Т.Г.Макаров-М.:НИЦ ИНФРА-М,2023.-85с.(Науч.мысль)(О)</t>
  </si>
  <si>
    <t>ОБЕСПЕЧЕНИЕ ПРАВ АВТОРОВ ЛИТЕРАТУРНЫХ ПРОИЗВЕДЕНИЙ</t>
  </si>
  <si>
    <t>Макаров Т.Г.</t>
  </si>
  <si>
    <t>978-5-16-012764-4</t>
  </si>
  <si>
    <t>Казанский (Приволжский) федеральный университет</t>
  </si>
  <si>
    <t>646042.07.01</t>
  </si>
  <si>
    <t>Обеспечение прав человека в деят. правоохран.органов: Уч. / А.А.Акмалова-М.:НИЦ ИНФРА-М,2023-395с(ВО)(П)</t>
  </si>
  <si>
    <t>ОБЕСПЕЧЕНИЕ ПРАВ ЧЕЛОВЕКА В ДЕЯТЕЛЬНОСТИ ПРАВООХРАНИТЕЛЬНЫХ ОРГАНОВ</t>
  </si>
  <si>
    <t>978-5-16-013051-4</t>
  </si>
  <si>
    <t>Рекомендовано в качестве учебника для студентов высших учебных заведений, обучающихся по направлению подготовки 40.05.02 «Правоохранительная деятельность» (квалификация «юрист»)</t>
  </si>
  <si>
    <t>648397.02.01</t>
  </si>
  <si>
    <t>Обжалование в уголовном судопроизвод.: Уч.пос. / Паничева А.И. М.:Юр.Норма, НИЦ ИНФРА-М,2019-208с(П)</t>
  </si>
  <si>
    <t>ОБЖАЛОВАНИЕ В УГОЛОВНОМ СУДОПРОИЗВОДСТВЕ</t>
  </si>
  <si>
    <t>Паничева А.И., Панокин А.М., Рубинштейн Е.А.</t>
  </si>
  <si>
    <t>978-5-91768-803-9</t>
  </si>
  <si>
    <t>40.05.04, 40.02.02, 40.03.01, 40.05.01, 40.05.02, 40.05.03</t>
  </si>
  <si>
    <t>645329.07.01</t>
  </si>
  <si>
    <t>Образовательное право: Уч. / Д.А.Пашенцев - М.:НИЦ ИНФРА-М,2024 - 180 с.(ВО: Бакалавр.)(П)</t>
  </si>
  <si>
    <t>ОБРАЗОВАТЕЛЬНОЕ ПРАВО</t>
  </si>
  <si>
    <t>978-5-16-016096-2</t>
  </si>
  <si>
    <t>40.05.04, 40.02.01, 40.02.02, 40.03.01, 44.04.02, 40.04.01, 44.04.01, 44.04.03, 40.05.01, 40.05.02, 40.05.03, 44.03.01, 44.03.05, 44.03.02, 44.03.03, 40.02.03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</si>
  <si>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40.03.01 «Юриспруденция» (квалификация (степень) «бакалавр»)</t>
  </si>
  <si>
    <t>749700.01.01</t>
  </si>
  <si>
    <t>Обращение граждан в органы публичной власти: Уч. / С.В.Нарутто-М.:Юр.Норма, НИЦ ИНФРА-М,2021.-496 с.(П)</t>
  </si>
  <si>
    <t>ОБРАЩЕНИЕ ГРАЖДАН В ОРГАНЫ ПУБЛИЧНОЙ ВЛАСТИ</t>
  </si>
  <si>
    <t>Нарутто С.В.</t>
  </si>
  <si>
    <t>978-5-00156-140-8</t>
  </si>
  <si>
    <t>693939.05.01</t>
  </si>
  <si>
    <t>Общая теория гос. и права: предмет..: Моногр./ Д.А.Керимов-М.:Юр.Норма, НИЦ ИНФРА-М,2023-136с(П)</t>
  </si>
  <si>
    <t>ОБЩАЯ ТЕОРИЯ ГОСУДАРСТВА И ПРАВА: ПРЕДМЕТ, СТРУКТУРА, ФУНКЦИИ</t>
  </si>
  <si>
    <t>978-5-91768-967-8</t>
  </si>
  <si>
    <t>750688.01.01</t>
  </si>
  <si>
    <t>Общая теория права в связи с аксиологией ценностей/ А.Г.Чернявский-М.:НИЦ ИНФРА-М,2021.-367 с.(Науч.мысль)(О)</t>
  </si>
  <si>
    <t>ОБЩАЯ ТЕОРИЯ ПРАВА В СВЯЗИ С АКСИОЛОГИЕЙ ЦЕННОСТЕЙ</t>
  </si>
  <si>
    <t>978-5-16-016914-9</t>
  </si>
  <si>
    <t>40.05.04, 40.03.01, 40.04.01, 38.04.04, 40.05.01, 40.05.02, 40.05.03, 40.06.01, 38.03.04, 44.03.05, 41.03.01, 41.03.06</t>
  </si>
  <si>
    <t>022360.20.01</t>
  </si>
  <si>
    <t>Общая теория права и государства: Уч. / В.С.Нерсесянц - М.:Юр.Норма, НИЦ ИНФРА-М,2024 - 560 с.(п)</t>
  </si>
  <si>
    <t>ОБЩАЯ ТЕОРИЯ ПРАВА И ГОСУДАРСТВА</t>
  </si>
  <si>
    <t>978-5-91768-238-9</t>
  </si>
  <si>
    <t>40.05.04, 40.02.01, 40.02.02, 40.03.01, 40.04.01, 40.05.01, 40.05.02, 40.05.03, 44.03.05, 41.03.01, 41.03.06, 40.02.03</t>
  </si>
  <si>
    <t>0199</t>
  </si>
  <si>
    <t>088700.06.01</t>
  </si>
  <si>
    <t>Общая теория правового положения личности: Моногр./Н.В.Витрук -М.:Юр.Норма, НИЦ ИНФРА-М,2023-448с(П)</t>
  </si>
  <si>
    <t>ОБЩАЯ ТЕОРИЯ ПРАВОВОГО ПОЛОЖЕНИЯ ЛИЧНОСТИ</t>
  </si>
  <si>
    <t>Витрук Н. В.</t>
  </si>
  <si>
    <t>978-5-91768-807-7</t>
  </si>
  <si>
    <t>117750.09.01</t>
  </si>
  <si>
    <t>Общая теория юридической ответств.: Моногр. / Н.В.Витрук, - 2 изд.-М.:Юр. НОРМА, НИЦ ИНФРА-М,2024.-432 с.(П)</t>
  </si>
  <si>
    <t>ОБЩАЯ ТЕОРИЯ ЮРИДИЧЕСКОЙ ОТВЕТСТВЕННОСТИ, ИЗД.2</t>
  </si>
  <si>
    <t>978-5-91768-033-0</t>
  </si>
  <si>
    <t>706845.02.01</t>
  </si>
  <si>
    <t>Общее учение о правовом порядке. Восхожд. прав...: Моногр./ Н.Н.Черногор-М.:НИЦ ИНФРА-М,2023-348с(П)</t>
  </si>
  <si>
    <t>ОБЩЕЕ УЧЕНИЕ О ПРАВОВОМ ПОРЯДКЕ. ВОСХОЖДЕНИЕ ПРАВОПОРЯДКА</t>
  </si>
  <si>
    <t>Черногор Н.Н., Пашенцев Д.А., Залоило М.В. и др.</t>
  </si>
  <si>
    <t>978-5-16-015125-0</t>
  </si>
  <si>
    <t>734555.04.01</t>
  </si>
  <si>
    <t>Общепризнанные принципы и нормы международ. права: Моногр. / А.А.Максуров-М.:НИЦ ИНФРА-М,2024.-189 с(О)</t>
  </si>
  <si>
    <t>ОБЩЕПРИЗНАННЫЕ ПРИНЦИПЫ И НОРМЫ МЕЖДУНАРОДНОГО ПРАВА: ПОНЯТИЕ И ПРОБЛЕМЫ ПРИМЕНЕНИЯ В РОССИЙСКОЙ ФЕДЕРАЦИИ</t>
  </si>
  <si>
    <t>978-5-16-016219-5</t>
  </si>
  <si>
    <t>079050.16.01</t>
  </si>
  <si>
    <t>Общероссийский классификатор профессий рабочих...: Справ. - 3 изд. - М.:НИЦ ИНФРА-М,2023-249с.(П)</t>
  </si>
  <si>
    <t>ОБЩЕРОССИЙСКИЙ КЛАССИФИКАТОР ПРОФЕССИЙ РАБОЧИХ, ДОЛЖНОСТЕЙ СЛУЖАЩИХ И ТАРИФНЫХ РАЗРЯДОВ, ИЗД.3</t>
  </si>
  <si>
    <t>978-5-16-006595-3</t>
  </si>
  <si>
    <t>Справочник</t>
  </si>
  <si>
    <t>40.02.01, 40.02.02, 46.03.02, 40.03.01, 38.03.01, 38.03.04, 38.03.03, 44.03.05, 41.03.06</t>
  </si>
  <si>
    <t>719046.02.01</t>
  </si>
  <si>
    <t>Общий курс международ.част. права: Уч.пос: В 2 кн. /Ю.Базедов - М.:Юр.Норма,НИЦ ИНФРА-М,2022</t>
  </si>
  <si>
    <t>ОБЩИЙ КУРС МЕЖДУНАРОДНОГО ЧАСТНОГО ПРАВА</t>
  </si>
  <si>
    <t>Базедов Ю., Юмашев Ю.М.</t>
  </si>
  <si>
    <t>Комплект</t>
  </si>
  <si>
    <t>801730.01.01</t>
  </si>
  <si>
    <t>Объекты земельных отношений: Моногр. / Н.Н.Мельников-М.:НИЦ ИНФРА-М,2023.-395 с.(Науч.мысль)(п)</t>
  </si>
  <si>
    <t>ОБЪЕКТЫ ЗЕМЕЛЬНЫХ ПРАВООТНОШЕНИЙ</t>
  </si>
  <si>
    <t>Мельников Н.Н.</t>
  </si>
  <si>
    <t>978-5-16-018420-3</t>
  </si>
  <si>
    <t>40.04.01, 21.04.02, 40.06.01</t>
  </si>
  <si>
    <t>798206.01.01</t>
  </si>
  <si>
    <t>Обязательственное право: Уч.пос. / Д.А.Формакидов-М.:НИЦ ИНФРА-М,2023.-300 с.(ВО:Магистр)(п)</t>
  </si>
  <si>
    <t>ОБЯЗАТЕЛЬСТВЕННОЕ ПРАВО</t>
  </si>
  <si>
    <t>978-5-16-018219-3</t>
  </si>
  <si>
    <t>431200.10.01</t>
  </si>
  <si>
    <t>Онтология права:(критич. исслед. юр. концепта...):Моногр./Г.А.Гаджиев-М:Норма:НИЦ ИНФРА-М,2023-320с. (п)</t>
  </si>
  <si>
    <t>ОНТОЛОГИЯ ПРАВА: (КРИТИЧЕСКОЕ ИССЛЕДОВАНИЕ ЮРИДИЧЕСКОГО КОНЦЕПТА ДЕЙСТВИТЕЛЬНОСТИ)</t>
  </si>
  <si>
    <t>Гаджиев Г. А.</t>
  </si>
  <si>
    <t>978-5-91768-331-7</t>
  </si>
  <si>
    <t>314700.07.01</t>
  </si>
  <si>
    <t>ООН и междун. защита прав челов. в XXI в.: Моногр./В.А.Карташкин - М.: Норма: ИНФРА-М, 2023-176с.(П)</t>
  </si>
  <si>
    <t>ОРГАНИЗАЦИЯ ОБЪЕДИНЕННЫХ НАЦИЙ И МЕЖДУНАРОДНАЯ ЗАЩИТА ПРАВ ЧЕЛОВЕКА В XXI ВЕКЕ</t>
  </si>
  <si>
    <t>Карташкин В.А.</t>
  </si>
  <si>
    <t>978-5-91768-554-0</t>
  </si>
  <si>
    <t>304800.06.01</t>
  </si>
  <si>
    <t>Оперативно-розыскная деят. в XXI в.: Моногр. / С.И.Захарцев .-М.:Юр. НОРМА, НИЦ ИНФРА-М,2024.-400 с.(п)</t>
  </si>
  <si>
    <t>ОПЕРАТИВНО-РОЗЫСКНАЯ ДЕЯТЕЛЬНОСТЬ В XXI ВЕКЕ</t>
  </si>
  <si>
    <t>Захарцев С.И., Игнащенков Ю.Ю., Сальников В.П.</t>
  </si>
  <si>
    <t>978-5-91768-538-0</t>
  </si>
  <si>
    <t>766458.08.01</t>
  </si>
  <si>
    <t>Оперативно-розыскная деят. в цифр. мире: Сб. / Под ред. Овчинского В.С.-М.:НИЦ ИНФРА-М,2024.-630 с.(П)</t>
  </si>
  <si>
    <t>ОПЕРАТИВНО-РОЗЫСКНАЯ ДЕЯТЕЛЬНОСТЬ В ЦИФРОВОМ МИРЕ</t>
  </si>
  <si>
    <t>978-5-16-017227-9</t>
  </si>
  <si>
    <t>786502.02.01</t>
  </si>
  <si>
    <t>Оперативно-розыскная деят. и совр.: Сб. науч. труд. / Под ред. Овчинского В.С.-М.:НИЦ ИНФРА-М,2023.-412 с.(П)</t>
  </si>
  <si>
    <t>ОПЕРАТИВНО-РОЗЫСКНАЯ ДЕЯТЕЛЬНОСТЬ И СОВРЕМЕННОСТЬ</t>
  </si>
  <si>
    <t>978-5-16-017873-8</t>
  </si>
  <si>
    <t>40.05.04, 40.02.02, 40.04.01, 40.05.01, 40.05.02, 40.05.03, 38.05.01, 10.05.05, 40.06.01</t>
  </si>
  <si>
    <t>189948.09.01</t>
  </si>
  <si>
    <t>Оперативно-розыскная деят. по борьбе с коррупц.: Моногр./А.Н.Халиков,-2изд.-М.:РИОР:НИЦ ИНФРА-М,2020-342с</t>
  </si>
  <si>
    <t>ОПЕРАТИВНО-РОЗЫСКНАЯ ДЕЯТЕЛЬНОСТЬ ПО БОРЬБЕ С КОРРУПЦИОННЫМИ ПРЕСТУПЛЕНИЯМИ, СОВЕРШАЕМЫМИ ДОЛЖНОСТНЫМИ ЛИЦАМИ ОРГАНОВ ВЛАСТИ, ИЗД.2</t>
  </si>
  <si>
    <t>Халиков А. Н.</t>
  </si>
  <si>
    <t>978-5-369-01062-4</t>
  </si>
  <si>
    <t>641410.09.01</t>
  </si>
  <si>
    <t>Оперативно-розыскная деят.: Уч. / А.Н.Халиков - 3 изд. - М.:ИЦ РИОР, НИЦ ИНФРА-М,2023 - 332 с.(ВО)(П)</t>
  </si>
  <si>
    <t>ОПЕРАТИВНО-РОЗЫСКНАЯ ДЕЯТЕЛЬНОСТЬ, ИЗД.3</t>
  </si>
  <si>
    <t>Халиков А.Н.</t>
  </si>
  <si>
    <t>978-5-369-00773-0</t>
  </si>
  <si>
    <t>Рекомендовано в качестве учебника для студентов высших учебных заведений, обучающихся по направлению подготовки "Юриспруденция"</t>
  </si>
  <si>
    <t>641410.10.01</t>
  </si>
  <si>
    <t>Оперативно-розыскная деят.: Уч. / А.Н.Халиков, - 4 изд.-М.:ИЦ РИОР, НИЦ ИНФРА-М,2024.-331 с.(ВО)(п)</t>
  </si>
  <si>
    <t>ОПЕРАТИВНО-РОЗЫСКНАЯ ДЕЯТЕЛЬНОСТЬ, ИЗД.4</t>
  </si>
  <si>
    <t>978-5-369-01932-0</t>
  </si>
  <si>
    <t>0424</t>
  </si>
  <si>
    <t>187750.08.01</t>
  </si>
  <si>
    <t>Оперативно-розыскная деят.: Уч.пос. / А.Н.Халиков, - 2 изд.-М.:ИЦ РИОР, НИЦ ИНФРА-М,2019.-281с.(О)</t>
  </si>
  <si>
    <t>ОПЕРАТИВНО-РОЗЫСКНАЯ ДЕЯТЕЛЬНОСТЬ, ИЗД.2</t>
  </si>
  <si>
    <t>978-5-369-01655-8</t>
  </si>
  <si>
    <t>187750.11.01</t>
  </si>
  <si>
    <t>Оперативно-розыскная деят.: Уч.пос. / А.Н.Халиков, - 4 изд.-М.:ИЦ РИОР, НИЦ ИНФРА-М,2024.-282 с.(ВО)(о)</t>
  </si>
  <si>
    <t>978-5-369-01935-1</t>
  </si>
  <si>
    <t>187750.09.01</t>
  </si>
  <si>
    <t>Оперативно-розыскная деят.: Уч.пос. / А.Н.Халиков-3 изд.-М.:ИЦ РИОР,НИЦ ИНФРА-М,2019-281с-(ВО:Бак.)(О)</t>
  </si>
  <si>
    <t>978-5-369-01810-1</t>
  </si>
  <si>
    <t>768888.01.01</t>
  </si>
  <si>
    <t>Оперативно-розыскная деятельность: Уч. / А.Н.Халиков - М.:ИЦ РИОР, НИЦ ИНФРА-М,2022 - 326 с.(СПО)(П)</t>
  </si>
  <si>
    <t>ОПЕРАТИВНО-РОЗЫСКНАЯ ДЕЯТЕЛЬНОСТЬ</t>
  </si>
  <si>
    <t>978-5-369-01885-9</t>
  </si>
  <si>
    <t>641410.04.01</t>
  </si>
  <si>
    <t>Оперативно-розыскная деятельность: Уч. /А.Н.Халиков- 2-изд.-М.:ИЦ РИОР, НИЦ ИНФРА-М,2018-324с(ВО)(П)</t>
  </si>
  <si>
    <t>978-5-369-01678-7</t>
  </si>
  <si>
    <t>022900.07.01</t>
  </si>
  <si>
    <t>Оперативно-розыскная информация: Моногр. / Под ред. Овчинского А.С., - 2 изд.,-М.:НИЦ ИНФРА-М,2023.-415 с.(П)</t>
  </si>
  <si>
    <t>ОПЕРАТИВНО-РОЗЫСКНАЯ ИНФОРМАЦИЯ, ИЗД.2</t>
  </si>
  <si>
    <t>Овчинский С. С., Овчинский А. С., Овчинский В. С.</t>
  </si>
  <si>
    <t>978-5-16-012187-1</t>
  </si>
  <si>
    <t>440600.01.01</t>
  </si>
  <si>
    <t>Определения ВС РФ по гражд.,труд.,соц.и экон.спорам.2014:Сборник/Е.С.Гетман-М.:Юр.Норма,2015-576с(п)</t>
  </si>
  <si>
    <t>ОПРЕДЕЛЕНИЯ ВС РФ ПО ГРАЖДАНСКИМ, ТРУДОВЫМ, СОЦИАЛЬНЫМ И ЭКОНОМИЧЕСКИМ СПОРАМ. 2014</t>
  </si>
  <si>
    <t>ГетманЕ.С., КликушинА.А., ПчелинцеваЛ.М. и др.</t>
  </si>
  <si>
    <t>978-5-91768-662-2</t>
  </si>
  <si>
    <t>Верховный Суд Российской Федерации</t>
  </si>
  <si>
    <t>440500.01.01</t>
  </si>
  <si>
    <t>Определения ВС РФ по делам об оспар. нормат. прав. актов..: Сб. /Л.А.Калинина -М.:Юр.Норма,2015-912с.(п)</t>
  </si>
  <si>
    <t>ОПРЕДЕЛЕНИЯ ВС РФ ПО ДЕЛАМ ОБ ОСПАРИВАНИИ НОРМАТИВНЫХ ПРАВОВЫХ АКТОВ СУБЪЕКТОВ РФ,2014</t>
  </si>
  <si>
    <t>КалининаЛ.А., БондареваЮ.С.</t>
  </si>
  <si>
    <t>978-5-91768-661-5</t>
  </si>
  <si>
    <t>336200.05.01</t>
  </si>
  <si>
    <t>Организация и планир. кадастр. деят.: Уч. /А.А.Варламов -2 изд.-М.: Форум, НИЦ ИНФРА-М,2019-192с.(О)</t>
  </si>
  <si>
    <t>ОРГАНИЗАЦИЯ И ПЛАНИРОВАНИЕ КАДАСТРОВОЙ ДЕЯТЕЛЬНОСТИ, ИЗД.2</t>
  </si>
  <si>
    <t>Варламов А.А., Гальченко С.А., Аврунев Е.И. и др.</t>
  </si>
  <si>
    <t>978-5-00091-687-2</t>
  </si>
  <si>
    <t>40.05.04, 40.02.01, 40.02.02, 35.03.01, 21.04.02, 40.05.01, 40.05.02, 40.05.03, 21.03.02, 40.02.03</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</si>
  <si>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</si>
  <si>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725750.05.01</t>
  </si>
  <si>
    <t>Организация раб. орг. и учр. соц. защиты насел., органов Пенсион..: Уч.пос. / Т.А.Сережко-М.:НИЦ ИНФРА-М,2023-269с(П)</t>
  </si>
  <si>
    <t>ОРГАНИЗАЦИЯ РАБОТЫ ОРГАНОВ И УЧРЕЖДЕНИЙ СОЦИАЛЬНОЙ ЗАЩИТЫ НАСЕЛЕНИЯ, ОРГАНОВ ПЕНСИОННОГО ФОНДА РОССИЙСКОЙ ФЕДЕРАЦИИ</t>
  </si>
  <si>
    <t>Сережко Т.А.</t>
  </si>
  <si>
    <t>978-5-16-015969-0</t>
  </si>
  <si>
    <t>40.02.01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</si>
  <si>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11 от 09.11.2020)</t>
  </si>
  <si>
    <t>Белгородский университет кооперации, экономики и права</t>
  </si>
  <si>
    <t>773964.01.01</t>
  </si>
  <si>
    <t>Организация труда следователя: Монография / В.Н.Карагодин-М.:НИЦ ИНФРА-М,2022.-190 с.(Науч.мысль)(П )</t>
  </si>
  <si>
    <t>ОРГАНИЗАЦИЯ ТРУДА СЛЕДОВАТЕЛЯ</t>
  </si>
  <si>
    <t>Карагодин В.Н.</t>
  </si>
  <si>
    <t>978-5-16-017547-8</t>
  </si>
  <si>
    <t>280700.12.01</t>
  </si>
  <si>
    <t>Организованная преступная деят.:теор.и практ.: Уч.пос. / Н.П.Яблоков-М.:Юр.Норма,НИЦ ИНФРА-М,2023-224с.(О)</t>
  </si>
  <si>
    <t>ОРГАНИЗОВАННАЯ ПРЕСТУПНАЯ ДЕЯТЕЛЬНОСТЬ: ТЕОРИЯ И ПРАКТИКА РАССЛЕДОВАНИЯ</t>
  </si>
  <si>
    <t>978-5-91768-496-3</t>
  </si>
  <si>
    <t>40.05.04, 40.02.01, 40.02.02, 40.03.01, 40.04.01, 40.05.01, 40.05.02, 40.05.03, 44.03.05</t>
  </si>
  <si>
    <t>Рекомендовано Учебно-методическим объединением по юридическому образованию высших учебных заведении в качестве учебного пособия для студентов высших учебных заведений, обучающихся по направлению «Юриспруденция» и специальности «Юриспруденция»</t>
  </si>
  <si>
    <t>178250.05.01</t>
  </si>
  <si>
    <t>Основания наследования в гражданском праве Российской Федерации: монография / Е.А.Кириллова-М.:НИЦ ИНФРА-М,2018.-132 с..-(Науч.мысль)(О. КБС)</t>
  </si>
  <si>
    <t>ОСНОВАНИЯ НАСЛЕДОВАНИЯ В ГРАЖДАНСКОМ ПРАВЕ РОССИЙСКОЙ ФЕДЕРАЦИИ</t>
  </si>
  <si>
    <t>Кириллова Е. А.</t>
  </si>
  <si>
    <t>978-5-16-005483-4</t>
  </si>
  <si>
    <t>640618.05.01</t>
  </si>
  <si>
    <t>Основные вопр.теор.сов.фин.права: Моногр. / Е.А.Ровинский-2изд-М.:Юр.Норма,НИЦ ИНФРА-М,2023-176(П)</t>
  </si>
  <si>
    <t>ОСНОВНЫЕ ВОПРОСЫ ТЕОРИИ СОВЕТСКОГО ФИНАНСОВОГО ПРАВА, ИЗД.2</t>
  </si>
  <si>
    <t>Ровинский Е.А.</t>
  </si>
  <si>
    <t>Наше наследие</t>
  </si>
  <si>
    <t>978-5-91768-766-7</t>
  </si>
  <si>
    <t>650835.07.01</t>
  </si>
  <si>
    <t>Основы борьбы с киберпреступностью и кибертерроризмом / В.С.Овчинский-М.:Юр.Норма,ИНФРА-М,2024.-528 с.(П)</t>
  </si>
  <si>
    <t>ОСНОВЫ БОРЬБЫ С КИБЕРПРЕСТУПНОСТЬЮ И КИБЕРТЕРРОРИЗМОМ</t>
  </si>
  <si>
    <t>978-5-91768-814-5</t>
  </si>
  <si>
    <t>393500.07.01</t>
  </si>
  <si>
    <t>Основы криминальной психологии: Уч.пос. / В.В.Собольников, - 2 изд.-М.:Вуз. уч., НИЦ ИНФРА-М,2023.-366 с.(П)</t>
  </si>
  <si>
    <t>ОСНОВЫ КРИМИНАЛЬНОЙ ПСИХОЛОГИИ, ИЗД.2</t>
  </si>
  <si>
    <t>Собольников В.В.</t>
  </si>
  <si>
    <t>978-5-9558-0458-3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</si>
  <si>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6 от 25.03.2019)</t>
  </si>
  <si>
    <t>Новосибирский государственный педагогический университет</t>
  </si>
  <si>
    <t>364600.07.01</t>
  </si>
  <si>
    <t>Основы национальной безоп.: Уч.пос. / А.И.Овчинников- 2 изд.-М.:ИЦ РИОР,НИЦ ИНФРА-М,2024-224с(ВО)(П)</t>
  </si>
  <si>
    <t>ОСНОВЫ НАЦИОНАЛЬНОЙ БЕЗОПАСНОСТИ, ИЗД.2</t>
  </si>
  <si>
    <t>Овчинников А.И., Мамычев А.Ю., Баранов П.П.</t>
  </si>
  <si>
    <t>978-5-369-01592-6</t>
  </si>
  <si>
    <t>40.05.04, 40.02.01, 40.02.02, 02.03.03, 47.03.01, 41.03.04, 40.03.01, 41.03.05, 51.04.04, 41.04.04, 40.04.01, 46.04.02, 50.04.04, 40.05.01, 40.05.02, 40.05.03, 38.03.01, 38.03.04, 38.03.03, 44.03.01, 44.03.05, 41.03.06, 40.02.03</t>
  </si>
  <si>
    <t>Рекомендовано Федеральным государственным казенным образовательным учреждением высшего профессионального образования «Московский университет МВД России имени В.Я. Кикотя» в качестве учебного пособия для образовательных организаций, реализующих образо</t>
  </si>
  <si>
    <t>232800.04.01</t>
  </si>
  <si>
    <t>Основы прав. регулир. интеграц.процес. на постсовет.простр.:Моногр./С.Ю.Кашкин-М.:Юр.Норма,2019-224с</t>
  </si>
  <si>
    <t>ОСНОВЫ ПРАВОВОГО РЕГУЛИРОВАНИЯ ИНТЕГРАЦИОННЫХ ПРОЦЕССОВ НА ПОСТСОВЕТСКОМ ПРОСТРАНСТВЕ</t>
  </si>
  <si>
    <t>Кашкин С. Ю., Четвериков А. О., Жбанков В. А., Слепак В. Ю., Кашкин С. Ю.</t>
  </si>
  <si>
    <t>978-5-91768-421-5</t>
  </si>
  <si>
    <t>747738.01.01</t>
  </si>
  <si>
    <t>Основы права. Практикум: Уч.пос. / С.В.Корнакова.-М.:НИЦ ИНФРА-М,2023.-264 с.(СПО)(П)</t>
  </si>
  <si>
    <t>ОСНОВЫ ПРАВА. ПРАКТИКУМ</t>
  </si>
  <si>
    <t>Корнакова С.В., Корягина С.А., Литвинцева Н.Ю. и др.</t>
  </si>
  <si>
    <t>978-5-16-017264-4</t>
  </si>
  <si>
    <t>14.02.01, 15.02.03, 25.02.04, 25.02.01, 26.02.04, 08.02.03, 08.02.08, 20.02.01, 39.02.02, 49.02.01, 44.02.06, 31.02.01, 31.02.06, 54.02.01, 38.02.03, 00.02.08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</si>
  <si>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неюридическим специальностям (протокол № 6 от 08.06.2022)</t>
  </si>
  <si>
    <t>375600.07.01</t>
  </si>
  <si>
    <t>Основы права: Уч. / М.Б.Смоленский - М.:ИЦ РИОР, НИЦ ИНФРА-М,2023 - 308 с.(ПО)(П)</t>
  </si>
  <si>
    <t>ОСНОВЫ ПРАВА</t>
  </si>
  <si>
    <t>Смоленский М.Б., Маркина Е.В.</t>
  </si>
  <si>
    <t>978-5-369-01441-7</t>
  </si>
  <si>
    <t>00.02.08</t>
  </si>
  <si>
    <t>301200.07.01</t>
  </si>
  <si>
    <t>Основы права: Уч. / Под ред. В.Б. Исакова. - М.: Норма:  НИЦ ИНФРА-М, 2023-480с.(П)</t>
  </si>
  <si>
    <t>Исаков В. Б.</t>
  </si>
  <si>
    <t>978-5-91768-532-8</t>
  </si>
  <si>
    <t>40.05.04, 00.05.08, 40.05.01, 40.05.02, 40.05.03, 00.03.08</t>
  </si>
  <si>
    <t>128900.09.01</t>
  </si>
  <si>
    <t>Основы права: Уч. / Под ред. Епихина А.Ю., - 2 изд.-М.:Альфа-М, НИЦ ИНФРА-М,2023.-400 с.(П)</t>
  </si>
  <si>
    <t>ОСНОВЫ ПРАВА, ИЗД.2</t>
  </si>
  <si>
    <t>Ахметьянова З.А., Воронцова О.В., Вотчель Н.Р. и др.</t>
  </si>
  <si>
    <t>978-5-98281-343-5</t>
  </si>
  <si>
    <t>43.02.08, 38.02.04, 38.02.05, 42.02.01, 39.02.01, 39.02.02, 38.02.06, 38.02.07, 38.02.01, 38.02.02, 38.02.03, 43.02.14</t>
  </si>
  <si>
    <t>Рек.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 учреждений, реализ. программы среднего профессионального образования неюридического профиля</t>
  </si>
  <si>
    <t>243600.06.01</t>
  </si>
  <si>
    <t>Основы правового регулирования застр. земель: Моногр. / Е.С.Болтанова - РИОР: ИНФРА-М, 2022-268с. (о)</t>
  </si>
  <si>
    <t>ОСНОВЫ ПРАВОВОГО РЕГУЛИРОВАНИЯ ЗАСТРОЙКИ ЗЕМЕЛЬ</t>
  </si>
  <si>
    <t>978-5-369-01293-2</t>
  </si>
  <si>
    <t>40.03.01, 07.03.04, 40.04.01, 07.04.04, 08.05.01</t>
  </si>
  <si>
    <t>411250.06.01</t>
  </si>
  <si>
    <t>Основы правовой политики: Уч.пос./ А.В.Малько - 2 изд. - М.:ИЦ РИОР, НИЦ ИНФРА-М,2023 - 170 с.(ВО)</t>
  </si>
  <si>
    <t>ОСНОВЫ ПРАВОВОЙ ПОЛИТИКИ, ИЗД.2</t>
  </si>
  <si>
    <t>Малько А.В., Саломатин А.Ю.</t>
  </si>
  <si>
    <t>978-5-369-01376-2</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</si>
  <si>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магистр)</t>
  </si>
  <si>
    <t>757886.03.01</t>
  </si>
  <si>
    <t>Основы противодействия коррупции в РФ: Уч.пос. / С.С.Зенин - М.:Юр. НОРМА, НИЦ ИНФРА-М,2024 - 296 с.(П)</t>
  </si>
  <si>
    <t>ОСНОВЫ ПРОТИВОДЕЙСТВИЯ КОРРУПЦИИ В РОССИЙСКОЙ ФЕДЕРАЦИИ</t>
  </si>
  <si>
    <t>Зенин С.С.</t>
  </si>
  <si>
    <t>978-5-00156-181-1</t>
  </si>
  <si>
    <t>734723.03.01</t>
  </si>
  <si>
    <t>Основы процесса доказ. в свете суд. прак. по уголов. делам / Е.В.Брянская-М.:НИЦ ИНФРА-М,2023.-222 с.(О)</t>
  </si>
  <si>
    <t>ОСНОВЫ ПРОЦЕССА ДОКАЗЫВАНИЯ В СВЕТЕ СУДЕБНОЙ ПРАКТИКИ ПО УГОЛОВНЫМ ДЕЛАМ</t>
  </si>
  <si>
    <t>Брянская Е.В., Алтунина А.А.</t>
  </si>
  <si>
    <t>978-5-16-016218-8</t>
  </si>
  <si>
    <t>Российский государственный педагогический университет им. А.И. Герцена</t>
  </si>
  <si>
    <t>404900.09.01</t>
  </si>
  <si>
    <t>Основы публичного права: Монография / М.Ориу - М.:НИЦ ИНФРА-М,2023 - 574 с.-(Науч.мысль)(П)</t>
  </si>
  <si>
    <t>ОСНОВЫ ПУБЛИЧНОГО ПРАВА</t>
  </si>
  <si>
    <t>Ориу М.</t>
  </si>
  <si>
    <t>978-5-16-011647-1</t>
  </si>
  <si>
    <t>032608.15.01</t>
  </si>
  <si>
    <t>Основы судебного красноречия: Уч.пос. / Н.Н.Ивакина, - 3 изд.-М.:Юр. НОРМА, НИЦ ИНФРА-М,2023.-592 с.(п)</t>
  </si>
  <si>
    <t>ОСНОВЫ СУДЕБНОГО КРАСНОРЕЧИЯ (РИТОРИКА ДЛЯ ЮРИСТОВ), ИЗД.3</t>
  </si>
  <si>
    <t>Ивакина Н. Н.</t>
  </si>
  <si>
    <t>978-5-91768-150-4</t>
  </si>
  <si>
    <t>457950.09.01</t>
  </si>
  <si>
    <t>Основы теории доказательств в угол. проц. России: Уч. пос./Е.А.Артамонова-Норма: ИНФРА-М, 2024-240с. (о)</t>
  </si>
  <si>
    <t>ОСНОВЫ ТЕОРИИ ДОКАЗАТЕЛЬСТВ В УГОЛОВНОМ ПРОЦЕССЕ РОССИИ, ИЗД.4</t>
  </si>
  <si>
    <t>Артамонова Е. А., Фирсов О. В.</t>
  </si>
  <si>
    <t>978-5-91768-447-5</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</si>
  <si>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</si>
  <si>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Северо-Кавказский федеральный университет</t>
  </si>
  <si>
    <t>769199.02.01</t>
  </si>
  <si>
    <t>Основы управления в органах внутренних дел: Уч. / И.Г.Бавсун-М.:НИЦ ИНФРА-М,2023.-213 с..-(СПО)(п)</t>
  </si>
  <si>
    <t>ОСНОВЫ УПРАВЛЕНИЯ В ОРГАНАХ ВНУТРЕННИХ ДЕЛ</t>
  </si>
  <si>
    <t>Бавсун И.Г.</t>
  </si>
  <si>
    <t>978-5-16-017353-5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</si>
  <si>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6 от 08.06.2022)</t>
  </si>
  <si>
    <t>Российский государственный университет правосудия, Северо-Западный ф-л</t>
  </si>
  <si>
    <t>106950.13.01</t>
  </si>
  <si>
    <t>Основы юридической психологии: Уч. / М.И.Еникеев-М.:Юр.Норма, НИЦ ИНФРА-М,2024.-448 с.(П)</t>
  </si>
  <si>
    <t>ОСНОВЫ ЮРИДИЧЕСКОЙ ПСИХОЛОГИИ</t>
  </si>
  <si>
    <t>Еникеев М.И.</t>
  </si>
  <si>
    <t>978-5-91768-750-6</t>
  </si>
  <si>
    <t>769272.02.01</t>
  </si>
  <si>
    <t>Особенности квалификации преступ., предусмотр. статьей 303 УК РФ: Уч.пос. /Е.Г.Быкова-М.:Юр.Норма, НИЦ ИНФРА-М,2022-152 с.(П)</t>
  </si>
  <si>
    <t>ОСОБЕННОСТИ КВАЛИФИКАЦИИ ПРЕСТУПЛЕНИЙ, ПРЕДУСМОТРЕННЫХ СТАТЬЕЙ 303 УГОЛОВНОГО КОДЕКСА РФ</t>
  </si>
  <si>
    <t>Быкова Е.Г., Казаков А.А.</t>
  </si>
  <si>
    <t>978-5-00156-215-3</t>
  </si>
  <si>
    <t>711087.04.01</t>
  </si>
  <si>
    <t>Особенности расслед. мошенничеств, соверш. раб. банков..: Моногр. / В.Н.Карагодин.-М.:НИЦ ИНФРА-М,2023.-188с(О)</t>
  </si>
  <si>
    <t>ОСОБЕННОСТИ РАССЛЕДОВАНИЯ МОШЕННИЧЕСТВ, СОВЕРШАЕМЫХ РАБОТНИКАМИ БАНКОВ В СФЕРЕ КРЕДИТОВАНИЯ</t>
  </si>
  <si>
    <t>Карагодин В.Н., Карепанов Г.Н., Карепанов Н.В.</t>
  </si>
  <si>
    <t>978-5-16-015878-5</t>
  </si>
  <si>
    <t>778791.03.01</t>
  </si>
  <si>
    <t>Осуществление гос. и муниципал. закупок...: Моногр. / В.А.Перов-М.:НИЦ ИНФРА-М,2024.-219 с.(Науч.мысль)(О)</t>
  </si>
  <si>
    <t>ОСУЩЕСТВЛЕНИЕ ГОСУДАРСТВЕННЫХ И МУНИЦИПАЛЬНЫХ ЗАКУПОК НЕКОНКУРЕНТНЫМИ СПОСОБАМИ (ЗАКУПКИ У ЕДИНСТВЕННОГО ПОСТАВЩИКА): ОЦЕНКА ЭКОНОМИЧЕСКОЙ ЭФФЕКТИВНОСТИ</t>
  </si>
  <si>
    <t>Перов В.А., Шибанова А.А.</t>
  </si>
  <si>
    <t>978-5-16-017735-9</t>
  </si>
  <si>
    <t>40.04.01, 38.04.04, 38.04.05, 38.05.01, 38.06.01, 40.06.01</t>
  </si>
  <si>
    <t>776956.01.01</t>
  </si>
  <si>
    <t>Осуществление кадастровых отношений: Уч.пос. / С.А.Липски-М.:НИЦ ИНФРА-М,2023.-198 с(СПО)(П)</t>
  </si>
  <si>
    <t>ОСУЩЕСТВЛЕНИЕ КАДАСТРОВЫХ ОТНОШЕНИЙ</t>
  </si>
  <si>
    <t>978-5-16-017676-5</t>
  </si>
  <si>
    <t>21.02.04, 21.02.05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</si>
  <si>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21.02.05 «Земельно-имущественные отношения» (протокол №10 от 21.12.2022)</t>
  </si>
  <si>
    <t>466550.05.01</t>
  </si>
  <si>
    <t>Ответственность за наруш. фин.: Науч.-практ.пос. /Под ред. Кучерова И.И.-М.:НИЦ ИНФРА-М,2019-225с(О)</t>
  </si>
  <si>
    <t>ОТВЕТСТВЕННОСТЬ ЗА НАРУШЕНИЕ ФИНАНСОВОГО ЗАКОНОДАТЕЛЬСТВА</t>
  </si>
  <si>
    <t>Кучеров И. И., Абросимов Р. Ю., Акопян О. А., Буркавцова Я. В., Кучеров И. И.</t>
  </si>
  <si>
    <t>978-5-16-009769-5</t>
  </si>
  <si>
    <t>384000.08.01</t>
  </si>
  <si>
    <t>Ответственность за наруш.антимонопол..: Моногр. / С.В.Максимов-М.:Юр.Норма,НИЦ ИНФРА-М,2023-144с(О)</t>
  </si>
  <si>
    <t>ОТВЕТСТВЕННОСТЬ ЗА НАРУШЕНИЯ АНТИМОНОПОЛЬНОГО ЗАКОНОДАТЕЛЬСТВА: ПРОБЛЕМЫ ТЕОРИИ И ПРАКТИКИ</t>
  </si>
  <si>
    <t>Максимов С.В., Пузыревский С.А.</t>
  </si>
  <si>
    <t>978-5-91768-731-5</t>
  </si>
  <si>
    <t>40.05.04, 40.03.01, 40.05.01, 40.05.02, 40.05.03, 40.06.01, 38.03.04, 44.03.05</t>
  </si>
  <si>
    <t>675395.04.01</t>
  </si>
  <si>
    <t>Ответственность за наруш.финанс.законодат.: Уч.пос./ А.А.Ситник - М.:Юр.Норма,НИЦ ИНФРА-М,2023 -112с</t>
  </si>
  <si>
    <t>Ситник А.А., Горлова Е.Н., Соболь О.С.</t>
  </si>
  <si>
    <t>978-5-91768-888-6</t>
  </si>
  <si>
    <t>40.05.04, 40.03.01, 40.05.01, 40.05.02, 40.05.03, 38.05.01</t>
  </si>
  <si>
    <t>464750.05.01</t>
  </si>
  <si>
    <t>Ответственность за окруж. среду и возмещ. экологич...: Моногр./Л.И.Брославский-М.:НИЦ ИНФРА-М,2020-229с.(П)</t>
  </si>
  <si>
    <t>ОТВЕТСТВЕННОСТЬ ЗА ОКРУЖАЮЩУЮ СРЕДУ И ВОЗМЕЩЕНИЕ ЭКОЛОГИЧЕСКОГО ВРЕДА: ЗАКОНЫ И РЕАЛИИ РОССИИ, США И ЕВРОСОЮЗА</t>
  </si>
  <si>
    <t>Брославский Л. И.</t>
  </si>
  <si>
    <t>978-5-16-009605-6</t>
  </si>
  <si>
    <t>40.03.01, 05.03.06, 05.04.06, 40.04.01</t>
  </si>
  <si>
    <t>658969.04.01</t>
  </si>
  <si>
    <t>Ответственность за отмывание (легализацию) коррупц. доходов...:Научно-практ.пос. / И.С.Власов-М.:ИНФРА-М,2023-312с.(о)</t>
  </si>
  <si>
    <t>ОТВЕТСТВЕННОСТЬ ЗА ОТМЫВАНИЕ (ЛЕГАЛИЗАЦИЮ) КОРРУПЦИОННЫХ ДОХОДОВ ПО ЗАКОНОДАТЕЛЬСТВУ ЗАРУБЕЖНЫХ ГОСУДАРСТВ</t>
  </si>
  <si>
    <t>Власов И.С., Власова Н.В., Голованова Н.А. и др.</t>
  </si>
  <si>
    <t>978-5-16-012885-6</t>
  </si>
  <si>
    <t>478050.05.01</t>
  </si>
  <si>
    <t>Отдельные виды обязательств в межд. част.: Моногр. /Отв.ред. Н.Г.Доронина - 2 изд-НИЦ ИНФРА-М,201-352с(О)</t>
  </si>
  <si>
    <t>ОТДЕЛЬНЫЕ ВИДЫ ОБЯЗАТЕЛЬСТВ В МЕЖДУНАРОДНОМ ЧАСТНОМ ПРАВЕ, ИЗД.2</t>
  </si>
  <si>
    <t>Борисов В. Н., Власова Н. В., Доронина Н. Г., Хлестова И. О.</t>
  </si>
  <si>
    <t>978-5-16-010272-6</t>
  </si>
  <si>
    <t>333300.05.01</t>
  </si>
  <si>
    <t>Открытое правительство за рубежом...: Моногр. / Н.М.Касаткина.- М.:НИЦ ИНФРА-М,2022 - 210 с.(ИЗиСП)(П)</t>
  </si>
  <si>
    <t>ОТКРЫТОЕ ПРАВИТЕЛЬСТВО ЗА РУБЕЖОМ. ПРАВОВОЕ РЕГУЛИРОВАНИЕ И ПРАКТИКА</t>
  </si>
  <si>
    <t>Касаткина Н.М., Крысенкова Н.Б., Лещенков Ф.А. и др.</t>
  </si>
  <si>
    <t>978-5-16-010642-7</t>
  </si>
  <si>
    <t>329300.05.01</t>
  </si>
  <si>
    <t>Охрана общественного порядка.: Уч.пос. / А.А.Беженцев-М.:Вуз. уч., НИЦ ИНФРА-М,2022.-256 с.(П)</t>
  </si>
  <si>
    <t>ОХРАНА ОБЩЕСТВЕННОГО ПОРЯДКА</t>
  </si>
  <si>
    <t>Беженцев А.А.</t>
  </si>
  <si>
    <t>978-5-9558-0413-2</t>
  </si>
  <si>
    <t>706668.02.01</t>
  </si>
  <si>
    <t>Охрана общественного порядка: Уч.пос. / А.А.Беженцев-М.:Вуз. уч., НИЦ ИНФРА-М,2023.-251 с.(СПО)(П)</t>
  </si>
  <si>
    <t>978-5-9558-0639-6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</si>
  <si>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4 от 25.02.2019)</t>
  </si>
  <si>
    <t>345100.10.01</t>
  </si>
  <si>
    <t>Охрана труда в обществ. питании и..: Уч.пос. / К.Я.Гайворонский - 2 изд.-М.:НИЦ ИНФРА-М,2023.-169 с.(П)</t>
  </si>
  <si>
    <t>ОХРАНА ТРУДА В ОБЩЕСТВЕННОМ ПИТАНИИ И ТОРГОВЛЕ, ИЗД.2</t>
  </si>
  <si>
    <t>Гайворонский К.Я.</t>
  </si>
  <si>
    <t>978-5-16-017172-2</t>
  </si>
  <si>
    <t>43.01.09, 43.01.04, 19.01.17, 38.02.04, 38.02.05, 19.02.10, 43.02.15</t>
  </si>
  <si>
    <t>Рекомендовано УМК в качестве учебного пособия для студентов средних специальных учебных заведений, обучающихся по профилю 19.02.10 «Технология продукции общественного питания (квалификация техник-технолог)», 38.10.02.05 «Товароведение и экспертиза качества потребительских товаров (квалификация товаровед-эксперт)», 38.02.04 «Коммерция (по отраслям)»</t>
  </si>
  <si>
    <t>Пятигорский техникум торговли, технологий и сервиса</t>
  </si>
  <si>
    <t>345100.09.01</t>
  </si>
  <si>
    <t>Охрана труда в обществ. питании...: Уч.пос. / К.Я.Гайворонский-М.:ИД Форум, НИЦ ИНФРА-М,2021.-125 с.(О)</t>
  </si>
  <si>
    <t>ОХРАНА ТРУДА В ОБЩЕСТВЕННОМ ПИТАНИИ И ТОРГОВЛЕ</t>
  </si>
  <si>
    <t>978-5-8199-0706-1</t>
  </si>
  <si>
    <t>764409.01.01</t>
  </si>
  <si>
    <t>Охрана труда для повара-кондитера: :ч.пос. / А.В.Добычина-М.:НИЦ ИНФРА-М,2023.-129 с.(СПО)(П)</t>
  </si>
  <si>
    <t>ОХРАНА ТРУДА ДЛЯ ПОВАРА-КОНДИТЕРА</t>
  </si>
  <si>
    <t>Добычина А.В., АВАНГАРД-БУКС О.</t>
  </si>
  <si>
    <t>978-5-16-017535-5</t>
  </si>
  <si>
    <t>43.01.09</t>
  </si>
  <si>
    <t>Южно-Уральский государственный гуманитарно-педагогический университет</t>
  </si>
  <si>
    <t>088200.15.01</t>
  </si>
  <si>
    <t>Охрана труда на автомобильном транспорте: Уч.пос. / И.С.Туревский-М.:ИД ФОРУМ, НИЦ ИНФРА-М,2023-240 с.(СПО) (П)</t>
  </si>
  <si>
    <t>ОХРАНА ТРУДА НА АВТОМОБИЛЬНОМ ТРАНСПОРТЕ</t>
  </si>
  <si>
    <t>Туревский И. С.</t>
  </si>
  <si>
    <t>978-5-8199-0755-9</t>
  </si>
  <si>
    <t>23.01.03, 23.02.02, 23.02.03, 23.02.07, 23.01.17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</si>
  <si>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23.02.03 «Техническое обслуживание и ремонт автомобильного транспорта»</t>
  </si>
  <si>
    <t>Автомобильный, правовой техникум Воронежской области</t>
  </si>
  <si>
    <t>340300.05.01</t>
  </si>
  <si>
    <t>Охрана труда. Методика проведения...: Уч.пос. /Г.В.Пачурин -2изд.-М.:Форум:НИЦ ИНФРА-М,2023-143с (О)</t>
  </si>
  <si>
    <t>ОХРАНА ТРУДА. МЕТОДИКА ПРОВЕДЕНИЯ РАССЛЕДОВАНИЙ НЕСЧАСТНЫХ СЛУЧАЕВ НА ПРОИЗВОДСТВЕ, ИЗД.2</t>
  </si>
  <si>
    <t>Пачурин Г.В., Щенников Н.И., Курагина Т.И.</t>
  </si>
  <si>
    <t>978-5-00091-671-1</t>
  </si>
  <si>
    <t>40.05.04, 40.02.01, 40.02.02, 20.03.01, 13.03.03, 13.04.03, 23.04.03, 20.04.01, 40.05.01, 40.05.02, 40.05.03, 23.03.03, 40.02.03</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</si>
  <si>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20.03.01 (бакалавриат) и 20.04.01 (магистратура) «Техносферная безопасность», 23.03.03 (бакалавриат) и 23.04.03 (магистратура) «Эксплуатация транспортно-технологических машин и комплексов», 13.03.03 (бакалавриат) и 13.04.03 (магистратура) «Энергетическое машиностроение»</t>
  </si>
  <si>
    <t>Нижегородский государственный технический университет им. Р.А. Алексеева</t>
  </si>
  <si>
    <t>094260.12.01</t>
  </si>
  <si>
    <t>Охрана труда: Прак. пос. / П.М.Федоров, - 5 изд.-М.:ИЦ РИОР, НИЦ ИНФРА-М,2023.-149 с.(Прак. рук.)(о)</t>
  </si>
  <si>
    <t>ОХРАНА ТРУДА, ИЗД.5</t>
  </si>
  <si>
    <t>Федоров П.М.</t>
  </si>
  <si>
    <t>Практическое руководство</t>
  </si>
  <si>
    <t>978-5-369-01925-2</t>
  </si>
  <si>
    <t>Практическое пособие</t>
  </si>
  <si>
    <t>21.02.12, 08.01.26, 00.02.22</t>
  </si>
  <si>
    <t>Российская академия народного хозяйства и государственной службы при Президенте РФ, ф-л Поволжский институт управления имени П.А.Столыпина</t>
  </si>
  <si>
    <t>Февраль, 2023</t>
  </si>
  <si>
    <t>094260.08.01</t>
  </si>
  <si>
    <t>Охрана труда: Практ. пос. / П.М.Федоров - 3 изд.-М.:ИЦ РИОР, НИЦ ИНФРА-М,2021-138 с.(Прак. рук.)(О)</t>
  </si>
  <si>
    <t>ОХРАНА ТРУДА, ИЗД.3</t>
  </si>
  <si>
    <t>978-5-369-00797-6</t>
  </si>
  <si>
    <t>094260.11.01</t>
  </si>
  <si>
    <t>Охрана труда: Практ. пос. / П.М.Федоров - 4 изд. - М.:ИЦ РИОР, НИЦ ИНФРА-М,2022 - 156 с.(Практ. рук.)(О)</t>
  </si>
  <si>
    <t>ОХРАНА ТРУДА, ИЗД.4</t>
  </si>
  <si>
    <t>978-5-369-01889-7</t>
  </si>
  <si>
    <t>094260.04.01</t>
  </si>
  <si>
    <t>Охрана труда: Практ. рук. / П.М.Федоров - 2 изд. - М.:ИЦ РИОР, НИЦ ИНФРА-М,2018 - 137 с.(О)</t>
  </si>
  <si>
    <t>ОХРАНА ТРУДА, ИЗД.2</t>
  </si>
  <si>
    <t>978-5-369-01674-9</t>
  </si>
  <si>
    <t>758082.04.01</t>
  </si>
  <si>
    <t>Охрана труда: Уч. / М.В.Графкина - 3 изд. - М.:НИЦ ИНФРА-М,2024 - 212 с.(ВО)(п)</t>
  </si>
  <si>
    <t>Графкина М.В.</t>
  </si>
  <si>
    <t>978-5-16-019077-8</t>
  </si>
  <si>
    <t>08.01.21, 21.02.12, 08.02.01, 15.02.14, 00.02.22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</si>
  <si>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11 от 09.11.2020)</t>
  </si>
  <si>
    <t>Московский политехнический университет</t>
  </si>
  <si>
    <t>23</t>
  </si>
  <si>
    <t>107800.10.01</t>
  </si>
  <si>
    <t>Охрана труда: Уч.пос. / М.В.Графкина - 2 изд. - М.:Форум, НИЦ ИНФРА-М,2020 - 298 с.-(СПО)(П)</t>
  </si>
  <si>
    <t>978-5-00091-430-4</t>
  </si>
  <si>
    <t>00.05.01, 00.03.01, 19.01.09, 13.02.01, 08.02.01, 15.03.02, 15.03.01, 15.03.03, 15.03.04, 15.03.06, 15.03.05, 25.02.07</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</si>
  <si>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непроизводственной сферы</t>
  </si>
  <si>
    <t>107800.14.01</t>
  </si>
  <si>
    <t>Охрана труда: Уч.пос. / М.В.Графкина - 3 изд. - М.:НИЦ ИНФРА-М,2023 - 212 с.-(СПО)(П)</t>
  </si>
  <si>
    <t>978-5-16-016522-6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</si>
  <si>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15.02.15 «Технология металлообрабатывающего производства»;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 (протокол № 11 от 09.11.2020)</t>
  </si>
  <si>
    <t>675224.04.01</t>
  </si>
  <si>
    <t>Оценка корруп.рисков компании: Моногр./ Ю.В.Трунцевский-М.:НИЦ ИНФРА-М, ИЗиСП,2022.-272с(ИЗиСП)(П)</t>
  </si>
  <si>
    <t>ОЦЕНКА КОРРУПЦИОННЫХ РИСКОВ КОМПАНИИ</t>
  </si>
  <si>
    <t>Трунцевский Ю.В., Карпович О.Г.</t>
  </si>
  <si>
    <t>978-5-16-013520-5</t>
  </si>
  <si>
    <t>652902.04.01</t>
  </si>
  <si>
    <t>Оценка регулирующего возд. и регулятор.полит.: Уч.пос. / И.Д.Тургель - М.:НИЦ ИНФРА-М,2022 - 223 с.(ВО)(П)</t>
  </si>
  <si>
    <t>ОЦЕНКА РЕГУЛИРУЮЩЕГО ВОЗДЕЙСТВИЯ И РЕГУЛЯТОРНАЯ ПОЛИТИКА</t>
  </si>
  <si>
    <t>Тургель И.Д., Вейберт С.И., Рахмеева И.И. и др.</t>
  </si>
  <si>
    <t>978-5-16-013125-2</t>
  </si>
  <si>
    <t>40.05.04, 38.02.07, 40.03.01, 38.04.09, 40.04.01, 38.04.04, 40.05.01, 40.05.02, 40.05.03, 38.05.01, 38.03.01, 38.03.04, 44.03.01, 44.03.05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</si>
  <si>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t>
  </si>
  <si>
    <t>Уральский федеральный университет им. первого Президента России Б.Н. Ельцина</t>
  </si>
  <si>
    <t>087450.09.01</t>
  </si>
  <si>
    <t>Очерки уголовной политики / М.П. Чубинский.- М.: ИНФРА-М, 2024. - 435 с.  (Биб-ка криминолога) (п)</t>
  </si>
  <si>
    <t>ОЧЕРКИ УГОЛОВНОЙ ПОЛИТИКИ</t>
  </si>
  <si>
    <t>Чубинский М. П., Овчинский В. С., Федоров А. В.</t>
  </si>
  <si>
    <t>978-5-16-003181-1</t>
  </si>
  <si>
    <t>696941.05.01</t>
  </si>
  <si>
    <t>Ошибки в понятиях и проведении следств. действий: Моногр./ Е.С.Лапин-М.:НИЦ ИНФРА-М,2023-214 с.(П)</t>
  </si>
  <si>
    <t>ОШИБКИ В ПОНЯТИЯХ И ПРОВЕДЕНИИ СЛЕДСТВЕННЫХ ДЕЙСТВИЙ</t>
  </si>
  <si>
    <t>Лапин Е.С.</t>
  </si>
  <si>
    <t>978-5-16-014726-0</t>
  </si>
  <si>
    <t>169050.05.01</t>
  </si>
  <si>
    <t>Памятники истории и культуры: прав. статус...: Моногр./Л.Р.Клебанов - 2 изд.-М.:Юр.Норма, НИЦ ИНФРА-М, 2020-160с.(О)</t>
  </si>
  <si>
    <t>ПАМЯТНИКИ ИСТОРИИ И КУЛЬТУРЫ: ПРАВОВОЙ СТАТУС И ОХРАНА, ИЗД.2</t>
  </si>
  <si>
    <t>Клебанов Л. Р.</t>
  </si>
  <si>
    <t>978-5-91768-548-9</t>
  </si>
  <si>
    <t>40.03.01, 40.04.01, 51.03.01, 51.03.04, 51.03.03</t>
  </si>
  <si>
    <t>169050.10.01</t>
  </si>
  <si>
    <t>Памятники истории и культуры: правовой статус..: Моногр./Л.Р.Клебанов-3изд.-М.:Юр.Норма, НИЦ ИНФРА-М, 2024 -168с.(п)</t>
  </si>
  <si>
    <t>ПАМЯТНИКИ ИСТОРИИ И КУЛЬТУРЫ: ПРАВОВОЙ СТАТУС И ОХРАНА, ИЗД.3</t>
  </si>
  <si>
    <t>978-5-00156-104-0</t>
  </si>
  <si>
    <t>809284.01.01</t>
  </si>
  <si>
    <t>Парижский парламент средневековой Франции...: Моногр. / Е.Г.Коган-М.:Юр. НОРМА,2023.-160 с.(п)</t>
  </si>
  <si>
    <t>ПАРИЖСКИЙ ПАРЛАМЕНТ СРЕДНЕВЕКОВОЙ ФРАНЦИИ: ЮРИДИЧЕСКИЕ АСПЕКТЫ ОРГАНИЗАЦИИ И ДЕЯТЕЛЬНОСТИ</t>
  </si>
  <si>
    <t>Коган Е.Г.</t>
  </si>
  <si>
    <t>978-5-00156-320-4</t>
  </si>
  <si>
    <t>41.03.04, 40.03.01, 40.04.01</t>
  </si>
  <si>
    <t>729523.02.01</t>
  </si>
  <si>
    <t>Парламентское право РФ: Уч.пос. / А.Н.Кокотов, - 2 изд.-М.:Юр. НОРМА, НИЦ ИНФРА-М,2024.-320 с.(п)</t>
  </si>
  <si>
    <t>ПАРЛАМЕНТСКОЕ ПРАВО РОССИЙСКОЙ ФЕДЕРАЦИИ, ИЗД.2</t>
  </si>
  <si>
    <t>978-5-00156-339-6</t>
  </si>
  <si>
    <t>729523.01.01</t>
  </si>
  <si>
    <t>Парламентское право РФ: Уч.пос. / А.Н.Кокотов-М.:Юр.Норма,2020.-320 с.(П)</t>
  </si>
  <si>
    <t>ПАРЛАМЕНТСКОЕ ПРАВО РОССИЙСКОЙ ФЕДЕРАЦИИ</t>
  </si>
  <si>
    <t>978-5-00156-048-7</t>
  </si>
  <si>
    <t>780038.02.01</t>
  </si>
  <si>
    <t>Пенитенциарная криминология: Уч. / И.В.Пикин.-М.:НИЦ ИНФРА-М,2023.-193 с.(ВО: Спец.)(П)</t>
  </si>
  <si>
    <t>ПЕНИТЕНЦИАРНАЯ КРИМИНОЛОГИЯ</t>
  </si>
  <si>
    <t>Расторопов С.В., Понкратов В.А., Пикин И.В. и др.</t>
  </si>
  <si>
    <t>978-5-16-017866-0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</si>
  <si>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40.05.02 «Правоохранительная деятельность» (квалификация «юрист») (протокол № 10 от 21.12.2022)</t>
  </si>
  <si>
    <t>439550.07.01</t>
  </si>
  <si>
    <t>Пенсионное обеспечение в сис. соц. защиты насел.: Моногр. / О.Н.Никифорова-М.:НИЦ ИНФРА-М,2021.-124 с.(О)</t>
  </si>
  <si>
    <t>ПЕНСИОННОЕ ОБЕСПЕЧЕНИЕ В СИСТЕМЕ СОЦИАЛЬНОЙ ЗАЩИТЫ НАСЕЛЕНИЯ</t>
  </si>
  <si>
    <t>Никифорова О. Н.</t>
  </si>
  <si>
    <t>978-5-16-006758-2</t>
  </si>
  <si>
    <t>Российский государственный аграрный университет - МСХА им. К.А. Тимирязева</t>
  </si>
  <si>
    <t>681270.05.01</t>
  </si>
  <si>
    <t>Пенсионные накопления в России: кризис...: Моногр. / Т.Я.Хабриева.-М.:НИЦ ИНФРА-М,2021.-240 с.(О)</t>
  </si>
  <si>
    <t>ПЕНСИОННЫЕ НАКОПЛЕНИЯ В РОССИИ: КРИЗИС ОЖИДАНИЯ ИЛИ НОВЫЕ ВОЗМОЖНОСТИ</t>
  </si>
  <si>
    <t>Хабриева Т.Я., Воронин Ю.В., Емельянцев В.П. и др.</t>
  </si>
  <si>
    <t>978-5-16-016033-7</t>
  </si>
  <si>
    <t>816778.01.01</t>
  </si>
  <si>
    <t>Пенсионный возраст: правовая природа...: Монография / Ю.В.Воронин-М.:Юр. НОРМА,2024.-84 с.(о)</t>
  </si>
  <si>
    <t>ПЕНСИОННЫЙ ВОЗРАСТ: ПРАВОВАЯ ПРИРОДА, РОЛЬ И ЗНАЧЕНИЕ В СИСТЕМЕ ПЕНСИОННОГО ОБЕСПЕЧЕНИЯ</t>
  </si>
  <si>
    <t>Воронин Ю.В.</t>
  </si>
  <si>
    <t>978-5-00156-340-2</t>
  </si>
  <si>
    <t>733506.03.01</t>
  </si>
  <si>
    <t>Подготовка сотрудников ОВД к обеспеч. лич. безоп.: Уч.пос. / А.А.Тарасенко - М.:НИЦ ИНФРА-М,2023 -185 с.(П)</t>
  </si>
  <si>
    <t>ПОДГОТОВКА СОТРУДНИКОВ ОВД К ОБЕСПЕЧЕНИЮ ЛИЧНОЙ БЕЗОПАСНОСТИ</t>
  </si>
  <si>
    <t>Тарасенко А.А., Войнов П.Н., Михайликов В.Л.</t>
  </si>
  <si>
    <t>978-5-16-016189-1</t>
  </si>
  <si>
    <t>40.02.02, 40.03.01, 40.05.01, 40.05.02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</si>
  <si>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40.05.02 «Правоохранительная деятельность» (квалификация «юрист») (протокол № 7 от 22.09.2021)</t>
  </si>
  <si>
    <t>Белгородский юридический институт Министерства внутренних дел Российской Федерации им. И.Д. Путилина</t>
  </si>
  <si>
    <t>772129.01.01</t>
  </si>
  <si>
    <t>Подготовка сотрудников ОВД к обеспеч. личной безопас.: Уч.пос. / А.А.Тарасенко.-М.:НИЦ ИНФРА-М,2022.-185 с.(П)</t>
  </si>
  <si>
    <t>978-5-16-017444-0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</si>
  <si>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7 от 22.09.2021)</t>
  </si>
  <si>
    <t>52</t>
  </si>
  <si>
    <t>766880.02.01</t>
  </si>
  <si>
    <t>Полина Абрамовна Лупинская: Вклад в развитие рос. уголов. судопроизводства / П.А.Лупинская-М.:Юр.Норма,2023.-320 с.(П)</t>
  </si>
  <si>
    <t>ПОЛИНА АБРАМОВНА ЛУПИНСКАЯ: ВКЛАД В РАЗВИТИЕ РОССИЙСКОГО УГОЛОВНОГО СУДОПРОИЗВОДСТВА</t>
  </si>
  <si>
    <t>978-5-00156-205-4</t>
  </si>
  <si>
    <t>788038.01.01</t>
  </si>
  <si>
    <t>Политико-правовые взгляды Иоганна Альтузия: Моногр. / А.П.Айзенберг-М.:Юр. НОРМА,2023.-120 с.(О)</t>
  </si>
  <si>
    <t>ПОЛИТИКО-ПРАВОВЫЕ ВЗГЛЯДЫ ИОГАННА АЛЬТУЗИЯ</t>
  </si>
  <si>
    <t>Айзенберг А.П.</t>
  </si>
  <si>
    <t>978-5-00156-264-1</t>
  </si>
  <si>
    <t>40.05.04, 46.03.01, 40.03.01, 40.04.01, 40.05.01, 40.05.02, 40.05.03, 40.06.01</t>
  </si>
  <si>
    <t>637304.07.01</t>
  </si>
  <si>
    <t>Положение о порядке прохождения военной службы - 5 изд. - М.:НИЦ ИНФРА-М,2021 - 98 с.(О)</t>
  </si>
  <si>
    <t>ПОЛОЖЕНИЕ О ПОРЯДКЕ ПРОХОЖДЕНИЯ ВОЕННОЙ СЛУЖБЫ, ИЗД.5</t>
  </si>
  <si>
    <t>978-5-16-016989-7</t>
  </si>
  <si>
    <t>00.05.01, 00.03.01, 40.00.00</t>
  </si>
  <si>
    <t>637304.12.01</t>
  </si>
  <si>
    <t>Положение о порядке прохождения военной службы - 9 изд.-М.:НИЦ ИНФРА-М,2023.-104 с.(о)</t>
  </si>
  <si>
    <t>ПОЛОЖЕНИЕ О ПОРЯДКЕ ПРОХОЖДЕНИЯ ВОЕННОЙ СЛУЖБЫ, ИЗД.9</t>
  </si>
  <si>
    <t>978-5-16-018668-9</t>
  </si>
  <si>
    <t>0923</t>
  </si>
  <si>
    <t>637304.08.01</t>
  </si>
  <si>
    <t>Положение о порядке прохождения военной службы: закон - 6 изд. - М.:НИЦ ИНФРА-М,2021 - 98 с.(О)</t>
  </si>
  <si>
    <t>ПОЛОЖЕНИЕ О ПОРЯДКЕ ПРОХОЖДЕНИЯ ВОЕННОЙ СЛУЖБЫ, ИЗД.6</t>
  </si>
  <si>
    <t>978-5-16-017127-2</t>
  </si>
  <si>
    <t>637304.11.01</t>
  </si>
  <si>
    <t>Положение о порядке прохождения военной службы: закон РФ  - 8-е изд.-М.:НИЦ ИНФРА-М,2022.-100 с.(О)</t>
  </si>
  <si>
    <t>ПОЛОЖЕНИЕ О ПОРЯДКЕ ПРОХОЖДЕНИЯ ВОЕННОЙ СЛУЖБЫ, ИЗД.8</t>
  </si>
  <si>
    <t>978-5-16-017677-2</t>
  </si>
  <si>
    <t>0822</t>
  </si>
  <si>
    <t>637304.10.01</t>
  </si>
  <si>
    <t>Положение о порядке прохождения военной службы: закон рф - 7 изд.-М.:НИЦ ИНФРА-М,2022.-98 с.(О)</t>
  </si>
  <si>
    <t>ПОЛОЖЕНИЕ О ПОРЯДКЕ ПРОХОЖДЕНИЯ ВОЕННОЙ СЛУЖБЫ, ИЗД.7</t>
  </si>
  <si>
    <t>978-5-16-017207-1</t>
  </si>
  <si>
    <t>665933.04.01</t>
  </si>
  <si>
    <t>Понятие и взаимодействие международ. и нац. правов..: Моногр. / В.В.Гаврилов, - 2 изд.-М.:НИЦ ИНФРА-М,2023-224 с.(П)</t>
  </si>
  <si>
    <t>ПОНЯТИЕ И ВЗАИМОДЕЙСТВИЕ МЕЖДУНАРОДНОЙ И НАЦИОНАЛЬНЫХ ПРАВОВЫХ СИСТЕМ, ИЗД.2</t>
  </si>
  <si>
    <t>Гаврилов В.В.</t>
  </si>
  <si>
    <t>978-5-16-013185-6</t>
  </si>
  <si>
    <t>Дальневосточный федеральный университет</t>
  </si>
  <si>
    <t>642076.07.01</t>
  </si>
  <si>
    <t>Популярная криминология: Моногр. / В.Н.Кудрявцев - М.:Юр.Норма, НИЦ ИНФРА-М,2023 - 166 с.(О)</t>
  </si>
  <si>
    <t>ПОПУЛЯРНАЯ КРИМИНОЛОГИЯ</t>
  </si>
  <si>
    <t>978-5-91768-774-2</t>
  </si>
  <si>
    <t>249400.13.01</t>
  </si>
  <si>
    <t>Портреты преступников: криминол.-психолог. анализ: Моногр./Ю.М.Антонян - Норма: ИНФРА-М, 2022-240с(о)</t>
  </si>
  <si>
    <t>ПОРТРЕТЫ ПРЕСТУПНИКОВ: КРИМИНОЛОГО-ПСИХОЛОГИЧЕСКИЙ АНАЛИЗ</t>
  </si>
  <si>
    <t>978-5-91768-443-7</t>
  </si>
  <si>
    <t>632596.06.01</t>
  </si>
  <si>
    <t>Права на товарный знак: Монография / Отв. ред. Л.А.Новоселова - М.:Юр.Норма, НИЦ ИНФРА-М,2023-144с.(О)</t>
  </si>
  <si>
    <t>ПРАВА НА ТОВАРНЫЙ ЗНАК</t>
  </si>
  <si>
    <t>Новоселова Л.А.</t>
  </si>
  <si>
    <t>978-5-91768-739-1</t>
  </si>
  <si>
    <t>40.03.01, 40.04.01, 15.04.01, 29.04.02, 29.04.01, 29.04.03, 38.03.01</t>
  </si>
  <si>
    <t>110550.08.01</t>
  </si>
  <si>
    <t>Права человека и демографические процессы: Моногр. / Н.С. Колесова. - М.: НОРМА:  ИНФРА-М,2024-240с.(о)</t>
  </si>
  <si>
    <t>ПРАВА ЧЕЛОВЕКА И ДЕМОГРАФИЧЕСКИЕ ПРОЦЕССЫ</t>
  </si>
  <si>
    <t>Колесова Н.С.</t>
  </si>
  <si>
    <t>978-5-16-003644-1</t>
  </si>
  <si>
    <t>154750.07.01</t>
  </si>
  <si>
    <t>Права человека и правовое соц.гос-во в России/ Н.А.Воронина - М.:Юр.Норма, НИЦ ИНФРА-М,2020-400с(П)</t>
  </si>
  <si>
    <t>ПРАВА ЧЕЛОВЕКА И ПРАВОВОЕ СОЦИАЛЬНОЕ ГОСУДАРСТВО В РОССИИ</t>
  </si>
  <si>
    <t>Воронина Н. А., Запесоцкий А. С., Карташкин В. А., Лукашева Е. А.</t>
  </si>
  <si>
    <t>978-5-91768-191-7</t>
  </si>
  <si>
    <t>682764.06.01</t>
  </si>
  <si>
    <t>Права человека и принципы международ.права в XXIв. / В.А.Карташкин - М.:Юр.Норма,НИЦ ИНФРА-М,2023-148(П)</t>
  </si>
  <si>
    <t>ПРАВА ЧЕЛОВЕКА И ПРИНЦИПЫ МЕЖДУНАРОДНОГО ПРАВА В XXI ВЕКЕ</t>
  </si>
  <si>
    <t>978-5-91768-917-3</t>
  </si>
  <si>
    <t>40.03.01, 40.04.01, 40.05.01, 44.03.05</t>
  </si>
  <si>
    <t>757887.04.01</t>
  </si>
  <si>
    <t>Права человека: между прошлым и будущим: Моногр. / Т.А.Васильева - М.:Юр.Норма, НИЦ ИНФРА-М,2022 - 448 с.(П)</t>
  </si>
  <si>
    <t>ПРАВА ЧЕЛОВЕКА: МЕЖДУ ПРОШЛЫМ И БУДУЩИМ</t>
  </si>
  <si>
    <t>Васильева Т.А., Алексенко А.В., Варламова Н.В. и др.</t>
  </si>
  <si>
    <t>978-5-00156-180-4</t>
  </si>
  <si>
    <t>112400.08.01</t>
  </si>
  <si>
    <t>Права человека: междунар. защита... : Моногр. / В.А.Карташкин -М.:Юр.Норма,НИЦ ИНФРА-М,2020-288с.(П)</t>
  </si>
  <si>
    <t>ПРАВА ЧЕЛОВЕКА: МЕЖДУНАРОДНАЯ ЗАЩИТА В УСЛОВИЯХ ГЛОБАЛИЗАЦИИ</t>
  </si>
  <si>
    <t>978-5-91768-004-0</t>
  </si>
  <si>
    <t>019996.21.01</t>
  </si>
  <si>
    <t>Права человека: Уч. / Е.А.Лукашева - 3 изд. - М.:Юр.Норма, НИЦ ИНФРА-М,2022 - 512 с.(П)</t>
  </si>
  <si>
    <t>ПРАВА ЧЕЛОВЕКА, ИЗД.3</t>
  </si>
  <si>
    <t>Васильева Т.А., Карташкин В.А., Лукашева Е.А. и др.</t>
  </si>
  <si>
    <t>978-5-91768-578-6</t>
  </si>
  <si>
    <t>40.05.04, 40.02.01, 40.02.02, 46.03.02, 40.03.01, 40.04.01, 40.05.01, 40.05.02, 40.05.03, 44.03.05, 41.03.01, 41.03.06, 40.02.03</t>
  </si>
  <si>
    <t>149500.06.01</t>
  </si>
  <si>
    <t>Права человека: Уч.пос. / Е.В.Гулин - 2 изд. - М.:ИЦ РИОР,НИЦ ИНФРА-М,2021-175 с.(ВО: Бакалавр.)(П)</t>
  </si>
  <si>
    <t>ПРАВА ЧЕЛОВЕКА, ИЗД.2</t>
  </si>
  <si>
    <t>978-5-369-01503-2</t>
  </si>
  <si>
    <t>149500.10.01</t>
  </si>
  <si>
    <t>Права человека: Уч.пос. / Е.В.Гулин - 3 изд. - М.:ИЦ РИОР, НИЦ ИНФРА-М,2024.-176 с.(ВО)(П)</t>
  </si>
  <si>
    <t>978-5-369-01878-1</t>
  </si>
  <si>
    <t>801713.03.01</t>
  </si>
  <si>
    <t>Правила внутр. распорядка учреждений уголовно-исполнит. сис... / Без автора-М.:НИЦ ИНФРА-М,2023.-289 с.(П)</t>
  </si>
  <si>
    <t>ПРАВИЛА ВНУТРЕННЕГО РАСПОРЯДКА УЧРЕЖДЕНИЙ УГОЛОВНО-ИСПОЛНИТЕЛЬНОЙ СИСТЕМЫ (ОБЪЕДИНЕННОЕ ИЗДАНИЕ)</t>
  </si>
  <si>
    <t>978-5-16-018732-7</t>
  </si>
  <si>
    <t>Правила</t>
  </si>
  <si>
    <t>40.05.04, 40.02.02, 40.03.01, 40.05.01, 40.05.02</t>
  </si>
  <si>
    <t>633327.06.01</t>
  </si>
  <si>
    <t>Право ВТО: теория и практ..: Моногр. / Под ред. Ануфриевой Л.П.-М.:Юр.Норма,НИЦ ИНФРА-М,2021-528с(П)</t>
  </si>
  <si>
    <t>ПРАВО ВТО: ТЕОРИЯ И ПРАКТИКА ПРИМЕНЕНИЯ</t>
  </si>
  <si>
    <t>Ануфриева Л.П.</t>
  </si>
  <si>
    <t>978-5-91768-747-6</t>
  </si>
  <si>
    <t>214200.05.01</t>
  </si>
  <si>
    <t>Право денежного обращения: Курс лекций / И.И. Кучеров. - М.: Магистр:  НИЦ ИНФРА-М, 2022. - 256 с. (п)</t>
  </si>
  <si>
    <t>ПРАВО ДЕНЕЖНОГО ОБРАЩЕНИЯ</t>
  </si>
  <si>
    <t>Кучеров И. И.</t>
  </si>
  <si>
    <t>978-5-9776-0278-5</t>
  </si>
  <si>
    <t>38.02.07, 38.02.01, 38.02.03, 40.03.01, 38.04.09, 40.04.01, 38.04.01, 38.04.08, 38.03.01</t>
  </si>
  <si>
    <t>754145.03.01</t>
  </si>
  <si>
    <t>Право и биомедицина: Монография / Ф.В.Цомартова-М.:Юр.Норма, НИЦ ИНФРА-М,2023.-136 с.(П)</t>
  </si>
  <si>
    <t>ПРАВО И БИОМЕДИЦИНА</t>
  </si>
  <si>
    <t>Цомартова Ф.В., Помазанский А.Е., Никитина Е.Е. и др.</t>
  </si>
  <si>
    <t>978-5-00156-163-7</t>
  </si>
  <si>
    <t>40.04.01, 40.05.03, 40.06.01</t>
  </si>
  <si>
    <t>653329.04.01</t>
  </si>
  <si>
    <t>Право и животный мир: история и современность: Моногр./ С.В.Иванова-М.:НИЦ ИНФРА-М,2022.-158 с.(О)</t>
  </si>
  <si>
    <t>ПРАВО И ЖИВОТНЫЙ МИР: ИСТОРИЯ И СОВРЕМЕННОСТЬ</t>
  </si>
  <si>
    <t>Иванова С.В.</t>
  </si>
  <si>
    <t>978-5-16-016561-5</t>
  </si>
  <si>
    <t>Оренбургский государственный аграрный университет</t>
  </si>
  <si>
    <t>753347.02.01</t>
  </si>
  <si>
    <t>Право и закон: Монография / В.С.Нерсесянц - М.:Юр.Норма, НИЦ ИНФРА-М,2023 - 368 с.(П)</t>
  </si>
  <si>
    <t>ПРАВО И ЗАКОН</t>
  </si>
  <si>
    <t>Нерсесянц В.С., Лапаева В.В.</t>
  </si>
  <si>
    <t>978-5-00156-159-0</t>
  </si>
  <si>
    <t>632595.06.01</t>
  </si>
  <si>
    <t>Право и институты Европейского Союза.: Уч.пос. / Л.М.Энтин - 2 изд. - М.:Юр.Норма,НИЦ ИНФРА-М,2022-288с.(П)</t>
  </si>
  <si>
    <t>ПРАВО И ИНСТИТУТЫ ЕВРОПЕЙСКОГО СОЮЗА. СОВРЕМЕННЫЙ ЭТАП ЭВОЛЮЦИИ, ИЗД.2</t>
  </si>
  <si>
    <t>Энтин Л.М.</t>
  </si>
  <si>
    <t>978-5-91768-741-4</t>
  </si>
  <si>
    <t>042110.05.01</t>
  </si>
  <si>
    <t>Право и Интернет. Теория кибернетич. права: Моногр. / И.М.Рассолов - 3 изд. - М.:Юр.Норма, НИЦ ИНФРА-М,2022-304 с.(П)</t>
  </si>
  <si>
    <t>ПРАВО И ИНТЕРНЕТ. ТЕОРЕТИЧЕСКИЕ ПРОБЛЕМЫ, ИЗД.3</t>
  </si>
  <si>
    <t>Рассолов И. М.</t>
  </si>
  <si>
    <t>978-5-00156-142-2</t>
  </si>
  <si>
    <t>40.05.04, 40.03.01, 40.04.01, 38.04.05, 40.05.02, 40.05.03, 40.06.01</t>
  </si>
  <si>
    <t>122700.05.01</t>
  </si>
  <si>
    <t>Право и правовая сис. Великобритании: Уч.пос. / А.К.Романов, - 2 изд.-М.:НИЦ ИНФРА-М,2023.-340 с.(ВО)(п)</t>
  </si>
  <si>
    <t>ПРАВО И ПРАВОВАЯ СИСТЕМА ВЕЛИКОБРИТАНИИ, ИЗД.2</t>
  </si>
  <si>
    <t>Романов А.К.</t>
  </si>
  <si>
    <t>978-5-16-017199-9</t>
  </si>
  <si>
    <t>388800.05.01</t>
  </si>
  <si>
    <t>Право и социальное развитие: Моногр. / Т.Я.Хабриева.-М.:НИЦ ИНФРА-М,2023.-272 с.(ИЗиСП)(О)</t>
  </si>
  <si>
    <t>ПРАВО И СОЦИАЛЬНОЕ РАЗВИТИЕ: НОВАЯ ГУМАНИСТИЧЕСКАЯ ИЕРАРХИЯ ЦЕННОСТЕЙ</t>
  </si>
  <si>
    <t>Т.Я.Хабриева, А.В.Габов, Ю.А.Тихомиров и др.</t>
  </si>
  <si>
    <t>978-5-16-011187-2</t>
  </si>
  <si>
    <t>472500.07.01</t>
  </si>
  <si>
    <t>Право и экономика (методология): Уч.для магистр. / Г.А.Гаджиев-М.:Юр.Норма,НИЦ ИНФРА-М,2024-256с.(П)</t>
  </si>
  <si>
    <t>ПРАВО И ЭКОНОМИКА (МЕТОДОЛОГИЯ)</t>
  </si>
  <si>
    <t>Гаджиев Г.А.</t>
  </si>
  <si>
    <t>978-5-91768-695-0</t>
  </si>
  <si>
    <t>40.04.01, 38.04.01</t>
  </si>
  <si>
    <t>682992.07.01</t>
  </si>
  <si>
    <t>Право интеллект. собств.: Промыш. собств.: Уч. / Г.Ф.Ручкина - М.:НИЦ ИНФРА-М,2023 - 548 с.-(ВО)(П)</t>
  </si>
  <si>
    <t>ПРАВО ИНТЕЛЛЕКТУАЛЬНОЙ СОБСТВЕННОСТИ: ПРОМЫШЛЕННАЯ СОБСТВЕННОСТЬ</t>
  </si>
  <si>
    <t>Ручкина Г.Ф., Гончаренко Л.И., Лосева О.В. и др.</t>
  </si>
  <si>
    <t>978-5-16-015999-7</t>
  </si>
  <si>
    <t>Рекомендовано Учебно-методическим советом ВО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</si>
  <si>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102980.03.01</t>
  </si>
  <si>
    <t>Право интеллектуальной собст.: Шпаргалка - 2изд.-М.:ИЦ РИОР, НИЦ ИНФРА-М.-96с(Шпаргалка [отрывная])</t>
  </si>
  <si>
    <t>ПРАВО ИНТЕЛЛЕКТУАЛЬНОЙ СОБСТВЕННОСТИ, ИЗД.2</t>
  </si>
  <si>
    <t>978-5-369-00693-1</t>
  </si>
  <si>
    <t>0211</t>
  </si>
  <si>
    <t>792934.01.01</t>
  </si>
  <si>
    <t>Право интеллектуальной собственности в усл. развития новых технологий. Моногр:-М.:Юр. НОРМА, НИЦ ИНФРА-М,2023.-152 с.(п)</t>
  </si>
  <si>
    <t>ПРАВО ИНТЕЛЛЕКТУАЛЬНОЙ СОБСТВЕННОСТИ В УСЛОВИЯХ РАЗВИТИЯ НОВЫХ ТЕХНОЛОГИЙ</t>
  </si>
  <si>
    <t>Моргунова Е.А., Шахназаров Б.А.</t>
  </si>
  <si>
    <t>978-5-00156-275-7</t>
  </si>
  <si>
    <t>40.05.04, 41.04.04, 40.04.01, 40.05.01, 40.05.03, 40.06.01</t>
  </si>
  <si>
    <t>682616.04.01</t>
  </si>
  <si>
    <t>Право интеллектуальной собственности: Худ. собст.: Уч./ Ручкина Г.Ф.-М.:НИЦ ИНФРА-М,2023-232с(ВО)(П)</t>
  </si>
  <si>
    <t>ПРАВО ИНТЕЛЛЕКТУАЛЬНОЙ СОБСТВЕННОСТИ: ХУДОЖЕСТВЕННАЯ СОБСТВЕННОСТЬ</t>
  </si>
  <si>
    <t>Кулешова И.А., Рахматулина Р.Ш., Рузакова О.А. и др.</t>
  </si>
  <si>
    <t>978-5-16-018542-2</t>
  </si>
  <si>
    <t>772065.03.01</t>
  </si>
  <si>
    <t>Право личности на инсоляцию: Моногр. / П.Н.Андреева-М.:Юр.Норма,2023.-160 с.(П)</t>
  </si>
  <si>
    <t>ПРАВО ЛИЧНОСТИ НА ИНСОЛЯЦИЮ</t>
  </si>
  <si>
    <t>Андреева П.Н.</t>
  </si>
  <si>
    <t>978-5-00156-220-7</t>
  </si>
  <si>
    <t>736688.04.01</t>
  </si>
  <si>
    <t>Право международных обычаев: Моногр. / Ю.С.Ромашев, - 2 изд.-М.:Юр. НОРМА, НИЦ ИНФРА-М,2023.-176 с.(п)</t>
  </si>
  <si>
    <t>ПРАВО МЕЖДУНАРОДНЫХ ОБЫЧАЕВ, ИЗД.2</t>
  </si>
  <si>
    <t>978-5-00156-294-8</t>
  </si>
  <si>
    <t>736688.03.01</t>
  </si>
  <si>
    <t>Право международных обычаев: Монография / Ю.С.Ромашев - М.:Юр.Норма, НИЦ ИНФРА-М,2023 - 144 с.(П)</t>
  </si>
  <si>
    <t>ПРАВО МЕЖДУНАРОДНЫХ ОБЫЧАЕВ</t>
  </si>
  <si>
    <t>978-5-00156-071-5</t>
  </si>
  <si>
    <t>173250.07.01</t>
  </si>
  <si>
    <t>Право на обращение в ЕС по правам человека: Уч.пос. / Ю.В.Самович - 4 изд. - М.:ИЦ РИОР, НИЦ ИНФРА-М,2023-194 с.(ВО)</t>
  </si>
  <si>
    <t>ПРАВО НА ОБРАЩЕНИЕ В ЕВРОПЕЙСКИЙ СУД ПО ПРАВАМ ЧЕЛОВЕКА, ИЗД.4</t>
  </si>
  <si>
    <t>Самович Ю.В.</t>
  </si>
  <si>
    <t>978-5-369-01850-7</t>
  </si>
  <si>
    <t>Рекомендовано Государственным образовательным учреждением высшего профессионального образования «Московская государственная юридическая академия» им. О.Е. Кутафина к использованию в образовательных учреждениях, реализующих образовательные программы высшего профессионального образования (дополнительного профессионального образования) по специальности и направлению "Юриспруденция"</t>
  </si>
  <si>
    <t>173250.06.01</t>
  </si>
  <si>
    <t>Право на обращение в ЕС по правам человека: Уч.пос./ Ю.В.Самович, -3 изд.-М.:ИЦ РИОР, НИЦ ИНФРА-М,2018-163 с.(ВО)(П)</t>
  </si>
  <si>
    <t>ПРАВО НА ОБРАЩЕНИЕ В ЕВРОПЕЙСКИЙ СУД ПО ПРАВАМ ЧЕЛОВЕКА, ИЗД.3</t>
  </si>
  <si>
    <t>978-5-369-01465-3</t>
  </si>
  <si>
    <t>289000.04.01</t>
  </si>
  <si>
    <t>Право открытых обществ - частное и гос.регул.межд.отнош.:Общ.курс / Ю.Базедов - М.:Юр.Норма,2022 - 384 с(п)</t>
  </si>
  <si>
    <t>ПРАВО ОТКРЫТЫХ ОБЩЕСТВ - ЧАСТНОЕ И ГОСУДАРСТВЕННОЕ РЕГУЛИРОВАНИЕ МЕЖДУНАРОДНЫХ ОТНОШЕНИЙ</t>
  </si>
  <si>
    <t>978-5-91768-723-0</t>
  </si>
  <si>
    <t>40.02.01, 40.03.01, 38.03.04, 44.03.05</t>
  </si>
  <si>
    <t>741187.04.01</t>
  </si>
  <si>
    <t>Право против демократии?: Монография / Б.Матьё - М.:Юр.Норма,2022 - 200 с.(П)</t>
  </si>
  <si>
    <t>ПРАВО ПРОТИВ ДЕМОКРАТИИ</t>
  </si>
  <si>
    <t>Матьё Б.</t>
  </si>
  <si>
    <t>978-5-00156-085-2</t>
  </si>
  <si>
    <t>Институт юридических и философских наук Сорбонны</t>
  </si>
  <si>
    <t>682763.06.01</t>
  </si>
  <si>
    <t>Право против хаоса: Моногр. / В.Д.Зорькин - 3 изд. - М.:Юр.Норма, НИЦ ИНФРА-М,2023 - 536с.(п)</t>
  </si>
  <si>
    <t>ПРАВО ПРОТИВ ХАОСА, ИЗД.3</t>
  </si>
  <si>
    <t>978-5-00156-292-4</t>
  </si>
  <si>
    <t>682763.04.01</t>
  </si>
  <si>
    <t>Право против хаоса: Монография / В.Д.Зорькин - 2 изд. - М.:Юр.Норма, НИЦ ИНФРА-М,2023 - 368 с.(П)</t>
  </si>
  <si>
    <t>ПРАВО ПРОТИВ ХАОСА, ИЗД.2</t>
  </si>
  <si>
    <t>978-5-91768-916-6</t>
  </si>
  <si>
    <t>246700.06.01</t>
  </si>
  <si>
    <t>Право собств. на землю в стран. Европы: Моногр. / О.И.Крассов - М.:Юр.Норма, НИЦ ИНФРА-М,2022 - 400 с.(П)</t>
  </si>
  <si>
    <t>ПРАВО СОБСТВЕННОСТИ НА ЗЕМЛЮ В СТРАНАХ ЕВРОПЫ</t>
  </si>
  <si>
    <t>Крассов О. И.</t>
  </si>
  <si>
    <t>978-5-91768-438-3</t>
  </si>
  <si>
    <t>40.03.01, 20.03.02</t>
  </si>
  <si>
    <t>685990.06.01</t>
  </si>
  <si>
    <t>Право социального обеспечения: Уч.пос. / А.В.Карпова - М.:НИЦ ИНФРА-М,2024 - 175 с.(СПО)(п)</t>
  </si>
  <si>
    <t>ПРАВО СОЦИАЛЬНОГО ОБЕСПЕЧЕНИЯ</t>
  </si>
  <si>
    <t>Карпова А.В.</t>
  </si>
  <si>
    <t>978-5-16-014668-3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</si>
  <si>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13 от 16.09.2019)</t>
  </si>
  <si>
    <t>428300.07.01</t>
  </si>
  <si>
    <t>Право, демократия и личность в конституц. измер.: Избр. труды / Н.В. Витрук - М.: Норма,2022-688с(О)</t>
  </si>
  <si>
    <t>ПРАВО, ДЕМОКРАТИЯ И ЛИЧНОСТЬ В КОНСТИТУЦИОННОМ ИЗМЕРЕНИИ: (ИСТОРИЯ, ДОКТРИНА И ПРАКТИКА)</t>
  </si>
  <si>
    <t>978-5-91768-742-1</t>
  </si>
  <si>
    <t>40.02.01, 40.02.02, 40.03.01, 40.04.01, 44.03.05, 41.03.01, 41.03.06</t>
  </si>
  <si>
    <t>381800.07.01</t>
  </si>
  <si>
    <t>Право: прогнозы и риски: Моногр. / Ю.А.Тихомиров-М.:НИЦ ИНФРА-М,2023.-240 с.(ИЗиСП)(П)</t>
  </si>
  <si>
    <t>ПРАВО: ПРОГНОЗЫ И РИСКИ</t>
  </si>
  <si>
    <t>Тихомиров А.Ю.</t>
  </si>
  <si>
    <t>978-5-16-011152-0</t>
  </si>
  <si>
    <t>40.03.01, 40.04.01, 40.05.01, 40.05.02, 44.03.05</t>
  </si>
  <si>
    <t>641798.05.01</t>
  </si>
  <si>
    <t>Право: Уч. / О.В.Ефимова и др. - М.:НИЦ ИНФРА-М,2023 - 386 с.-(СПО)(П)</t>
  </si>
  <si>
    <t>ПРАВО</t>
  </si>
  <si>
    <t>Ефимова О.В., Ведышева Н.О., Питько Е.В.</t>
  </si>
  <si>
    <t>978-5-16-014530-3</t>
  </si>
  <si>
    <t>38.02.04, 38.02.05, 40.02.01, 40.02.02, 38.02.06, 38.02.07, 38.02.01, 38.02.02, 38.02.03, 40.02.03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</si>
  <si>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40.02.00 «Юриспруденция» (протокол № 2 от 28.01.2019), 38.02.00 «Экономика и управление»</t>
  </si>
  <si>
    <t>Российский университет транспорта (МИИТ)</t>
  </si>
  <si>
    <t>683220.05.01</t>
  </si>
  <si>
    <t>Право: Уч. / Под ред. Напалкова И.Г., - 2 изд.-М.:Юр. НОРМА, НИЦ ИНФРА-М,2023.-576 с.(СПО)(П)</t>
  </si>
  <si>
    <t>ПРАВО, ИЗД.2</t>
  </si>
  <si>
    <t>Рукавишникова И.В., Напалкова И.Г., Позднышов А.Н.</t>
  </si>
  <si>
    <t>978-5-00156-261-0</t>
  </si>
  <si>
    <t>Рекомендовано Учебно-методическим объединением по юридическому образованию вузов Российской Федерации в качестве учебника по дисциплине «Право» для студентов образовательных организаций, обучающихся по направлению подготовки «Экономика», квалификация (степень) «бакалавр»</t>
  </si>
  <si>
    <t>Аппарат Совета Федерации Федерального Собрания Российской Федерации</t>
  </si>
  <si>
    <t>293000.05.01</t>
  </si>
  <si>
    <t>Право: Уч. / Под ред. Напалковой И.Г. - М.:Юр.Норма, НИЦ ИНФРА-М,2019 - 384 с.(П)</t>
  </si>
  <si>
    <t>978-5-91768-727-8</t>
  </si>
  <si>
    <t>40.05.04, 40.05.01, 40.05.02, 40.05.03, 00.03.08</t>
  </si>
  <si>
    <t>683220.03.01</t>
  </si>
  <si>
    <t>Право: Уч. / Под ред. Напалковой И.Г. - М.:Юр.Норма, НИЦ ИНФРА-М,2019 - 384 с.-(СПО)(П)</t>
  </si>
  <si>
    <t>978-5-91768-920-3</t>
  </si>
  <si>
    <t>293000.07.01</t>
  </si>
  <si>
    <t>Право: Уч. / Под ред.И.В.Рукавишниковой , 2-е изд.- М.:Юр.Норма, НИЦ ИНФРА-М,2023-576с.(п)</t>
  </si>
  <si>
    <t>978-5-00156-262-7</t>
  </si>
  <si>
    <t>812229.01.01</t>
  </si>
  <si>
    <t>Правовая аналитика: студенты и искусств. интеллект на экзамене: Моногр.-М.:Юр. НОРМА, НИЦ ИНФРА-М,2024-200с.(п)</t>
  </si>
  <si>
    <t>ПРАВОВАЯ АНАЛИТИКА: СТУДЕНТЫ И ИСКУССТВЕННЫЙ ИНТЕЛЛЕКТ НА ЭКЗАМЕНЕ</t>
  </si>
  <si>
    <t>Исаков В.Б., Мамцев Р.В.</t>
  </si>
  <si>
    <t>978-5-00156-330-3</t>
  </si>
  <si>
    <t>384800.11.01</t>
  </si>
  <si>
    <t>Правовая аналитика: Уч.пос. / В.Б.Исаков - М.:Юр.Норма, НИЦ ИНФРА-М,2023.-384 с.(П)</t>
  </si>
  <si>
    <t>ПРАВОВАЯ АНАЛИТИКА</t>
  </si>
  <si>
    <t>978-5-91768-648-6</t>
  </si>
  <si>
    <t>671267.03.01</t>
  </si>
  <si>
    <t>Правовая доктрина как источник (форма) рос. права: Моногр. / А.Н.Чашин - М.:НИЦ ИНФРА-М,2023 - 293 с.(О)</t>
  </si>
  <si>
    <t>ПРАВОВАЯ ДОКТРИНА КАК ИСТОЧНИК (ФОРМА) РОССИЙСКОГО ПРАВА</t>
  </si>
  <si>
    <t>978-5-16-017375-7</t>
  </si>
  <si>
    <t>40.03.01, 40.04.01, 40.05.01, 40.05.02, 44.03.05, 41.03.01, 41.03.06</t>
  </si>
  <si>
    <t>767407.03.01</t>
  </si>
  <si>
    <t>Правовая доктрина: проблемы формир. и..: Моногр. / В.Д.Перевалов-М.:Юр.Норма, НИЦ ИНФРА-М,2023.-168 с.(П)</t>
  </si>
  <si>
    <t>ПРАВОВАЯ ДОКТРИНА: ПРОБЛЕМЫ ФОРМИРОВАНИЯ И РЕАЛИЗАЦИИ</t>
  </si>
  <si>
    <t>Перевалов В.Д.</t>
  </si>
  <si>
    <t>978-5-00156-206-1</t>
  </si>
  <si>
    <t>667390.05.01</t>
  </si>
  <si>
    <t>Правовая защита потерпев.в заруб. странах: Моногр./ В.Ю.Артемов - М.:НИЦ ИНФРА-М, ИЗиСП,2023 - 304 с.(П)</t>
  </si>
  <si>
    <t>ПРАВОВАЯ ЗАЩИТА ПОТЕРПЕВШИХ В ЗАРУБЕЖНЫХ СТРАНАХ</t>
  </si>
  <si>
    <t>978-5-16-013228-0</t>
  </si>
  <si>
    <t>657399.04.01</t>
  </si>
  <si>
    <t>Правовая идеология совр..полит.организ.общ./ А.И.Клименко-М.:Юр.Норма, НИЦ ИНФРА-М,2023.-384 с.(П)</t>
  </si>
  <si>
    <t>ПРАВОВАЯ ИДЕОЛОГИЯ СОВРЕМЕННОГО ПОЛИТИЧЕСКИ ОРГАНИЗОВАННОГО ОБЩЕСТВА</t>
  </si>
  <si>
    <t>Клименко А.И.</t>
  </si>
  <si>
    <t>978-5-91768-841-1</t>
  </si>
  <si>
    <t>40.03.01, 41.04.04, 40.04.01, 41.04.02, 40.05.01, 40.05.02, 44.03.05, 41.03.01, 41.03.06</t>
  </si>
  <si>
    <t>803176.01.01</t>
  </si>
  <si>
    <t>Правовая культура и правовая традиция: Сб. статей памяти Н. А. Крашенинниковой-М.:Юр. НОРМА,2023.-148 с.(п)</t>
  </si>
  <si>
    <t>ПРАВОВАЯ КУЛЬТУРА И ПРАВОВАЯ ТРАДИЦИЯ: СБОРНИК СТАТЕЙ ПАМЯТИ НИНЫ АЛЕКСАНДРОВНЫ КРАШЕНИННИКОВОЙ</t>
  </si>
  <si>
    <t>978-5-00156-301-3</t>
  </si>
  <si>
    <t>294800.04.01</t>
  </si>
  <si>
    <t>Правовая культура: Монография / Э.С. Насурдинов; Отв. ред. Ф.Т. Тахиров. - М.: Норма, 2023. - 352 с. (п)</t>
  </si>
  <si>
    <t>ПРАВОВАЯ КУЛЬТУРА</t>
  </si>
  <si>
    <t>Насурдинов Э. С., Тахиров Ф. Т.</t>
  </si>
  <si>
    <t>978-5-91768-523-6</t>
  </si>
  <si>
    <t>Таджикский национальный университет</t>
  </si>
  <si>
    <t>659817.05.01</t>
  </si>
  <si>
    <t>Правовая организация механизма правосудия РФ:Моногр./М.И.Клеандров-М.:Юр.Норма,НИЦ ИНФРА-М,2021-288с</t>
  </si>
  <si>
    <t>ПРАВОВАЯ ОРГАНИЗАЦИЯ МЕХАНИЗМА ПРАВОСУДИЯ РФ: ПРОБЛЕМЫ СОВЕРШЕНСТВОВАНИЯ</t>
  </si>
  <si>
    <t>978-5-91768-846-6</t>
  </si>
  <si>
    <t>632564.04.01</t>
  </si>
  <si>
    <t>Правовая охрана озера Байкал: Науч.-практ.пос. / Отв. ред. Щуплецова Ю.И.-М.:НИЦ ИНФРА-М,2023-184с.</t>
  </si>
  <si>
    <t>ПРАВОВАЯ ОХРАНА ОЗЕРА БАЙКАЛ</t>
  </si>
  <si>
    <t>Шуплецова Ю.И.</t>
  </si>
  <si>
    <t>978-5-16-012000-3</t>
  </si>
  <si>
    <t>683158.05.01</t>
  </si>
  <si>
    <t>Правовая патопсихология: Уч.пос. / Б.Н.Алмазов - М.:НИЦ ИНФРА-М,2024 - 329 с.(ВО: Специалитет)(П)</t>
  </si>
  <si>
    <t>ПРАВОВАЯ ПАТОПСИХОЛОГИЯ</t>
  </si>
  <si>
    <t>Алмазов Б.Н.</t>
  </si>
  <si>
    <t>978-5-16-014374-3</t>
  </si>
  <si>
    <t>40.05.04, 40.02.02, 40.03.01, 37.04.01, 40.05.01, 40.05.02, 40.05.03, 44.03.05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</si>
  <si>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3 от 11.02.2019)</t>
  </si>
  <si>
    <t>770681.02.01</t>
  </si>
  <si>
    <t>Правовая политика и ее эффектив. в сфере...: Моногр. / А.Ю..Соколов - М.:Юр. НОРМА, НИЦ ИНФРА-М,2022 - 200 с.(П)</t>
  </si>
  <si>
    <t>ПРАВОВАЯ ПОЛИТИКА И ЕЕ ЭФФЕКТИВНОСТЬ В СФЕРЕ ОТДЕЛЬНЫХ ВИДОВ СУДЕБНЫХ ПРОИЗВОДСТВ</t>
  </si>
  <si>
    <t>Соколов А.Ю., Афанасьев С.Ф., Евстигнеева О.В. и др.</t>
  </si>
  <si>
    <t>978-5-00156-219-1</t>
  </si>
  <si>
    <t>298400.04.01</t>
  </si>
  <si>
    <t>Правовая политика: базовый курс: Уч.пос. / В.Ю.Панченко - М.:ИЦ РИОР, НИЦ ИНФРА-М,2020 - 54с.(ВО)(О)</t>
  </si>
  <si>
    <t>ПРАВОВАЯ ПОЛИТИКА: БАЗОВЫЙ КУРС</t>
  </si>
  <si>
    <t>Панченко В.Ю., Петров А.А., Деменишин А.В.</t>
  </si>
  <si>
    <t>978-5-369-01372-4</t>
  </si>
  <si>
    <t>40.05.04, 41.03.04, 40.03.01, 41.03.05, 41.04.04, 40.04.01, 41.04.05, 40.05.01, 40.05.02, 40.05.03, 41.03.06</t>
  </si>
  <si>
    <t>Московский университет имени А.С. Грибоедова</t>
  </si>
  <si>
    <t>168000.05.01</t>
  </si>
  <si>
    <t>Правовая система Европейского Союза: Моногр. / М.Н. Марченко - М.: Норма:  НИЦ Инфра-М, 2023-704с. (п)</t>
  </si>
  <si>
    <t>ПРАВОВАЯ СИСТЕМА ЕВРОПЕЙСКОГО СОЮЗА</t>
  </si>
  <si>
    <t>Марченко М.Н., Дерябина Е.М.</t>
  </si>
  <si>
    <t>422800.05.01</t>
  </si>
  <si>
    <t>Правовая экспертиза рос. законодат.: Уч.-практ. пос./Н.В.Мамитова - М: Норма: НИЦ Инфра-М,2017-208с.</t>
  </si>
  <si>
    <t>ПРАВОВАЯ ЭКСПЕРТИЗА РОССИЙСКОГО ЗАКОНОДАТЕЛЬСТВА</t>
  </si>
  <si>
    <t>Мамитова Н. В.</t>
  </si>
  <si>
    <t>978-5-91768-319-5</t>
  </si>
  <si>
    <t>Учебно-практическое пособие</t>
  </si>
  <si>
    <t>Допущено УМО по юридическому образованию вузов РФ в качестве учебно-практического пособия для студентов высших учебных заведений, обучающихся по специальности и направлению подготовки «Юриспруденция»</t>
  </si>
  <si>
    <t>Южный университет (ИУБиП)</t>
  </si>
  <si>
    <t>422800.07.01</t>
  </si>
  <si>
    <t>Правовая экспертиза рос. законодат.: Уч.практ.пос. / Н.В.Мамитова, - 2 изд.-М.:Юр.Норма, НИЦ ИНФРА-М,2023.-224 с.(о)</t>
  </si>
  <si>
    <t>ПРАВОВАЯ ЭКСПЕРТИЗА РОССИЙСКОГО ЗАКОНОДАТЕЛЬСТВА, ИЗД.2</t>
  </si>
  <si>
    <t>978-5-00156-097-5</t>
  </si>
  <si>
    <t>155850.09.01</t>
  </si>
  <si>
    <t>Правоведение: Сб. задач и упр. /В.А.Васенков и др., 2 изд.-М.: Форум, НИЦ ИНФРА-М, 2023.-160 с. (О)</t>
  </si>
  <si>
    <t>ПРАВОВЕДЕНИЕ, ИЗД.2</t>
  </si>
  <si>
    <t>Васенков В. А., Корнеева И. Л., Субботина И. Б., Васенков В. А.</t>
  </si>
  <si>
    <t>978-5-91134-946-2</t>
  </si>
  <si>
    <t>636510.06.01</t>
  </si>
  <si>
    <t>Правоведение: Уч. / А.В.Малько - М.:Юр.Норма, НИЦ ИНФРА-М,2020.-304 с.(П)</t>
  </si>
  <si>
    <t>ПРАВОВЕДЕНИЕ</t>
  </si>
  <si>
    <t>Малько А.В., Субочев В.В.</t>
  </si>
  <si>
    <t>978-5-91768-752-0</t>
  </si>
  <si>
    <t>776711.02.01</t>
  </si>
  <si>
    <t>Правоведение: Уч. / Г.С.Працко-М.:ИЦ РИОР, НИЦ ИНФРА-М,2023.-435 с.(ВО)(П)</t>
  </si>
  <si>
    <t>978-5-369-01909-2</t>
  </si>
  <si>
    <t>41.03.04, 23.03.01, 38.03.01, 38.03.02, 38.03.03</t>
  </si>
  <si>
    <t>157700.08.01</t>
  </si>
  <si>
    <t>Правоведение: Уч. / М.Б.Смоленский - 3 изд. - М.:ИЦ РИОР,НИЦ ИНФРА-М,2021 - 422 с.(ВО:Бакалавр.)(п)</t>
  </si>
  <si>
    <t>ПРАВОВЕДЕНИЕ, ИЗД.3</t>
  </si>
  <si>
    <t>Смоленский М. Б.</t>
  </si>
  <si>
    <t>978-5-369-01534-6</t>
  </si>
  <si>
    <t>40.05.04, 00.05.08, 23.01.03, 31.02.01, 40.05.01, 40.05.02, 40.05.03, 54.01.20, 23.01.17, 00.03.08</t>
  </si>
  <si>
    <t>Рекомендовано Министерством образования РФ в качестве учебника для студентов высших учебных заведений, обучающихся по неюридическим специальностям и направлениям</t>
  </si>
  <si>
    <t>157700.10.01</t>
  </si>
  <si>
    <t>Правоведение: Уч. / М.Б.Смоленский, - 4 изд.-М.:ИЦ РИОР, НИЦ ИНФРА-М,2023.-421 с.(ВО: Бакалавр/)(п)</t>
  </si>
  <si>
    <t>ПРАВОВЕДЕНИЕ, ИЗД.4</t>
  </si>
  <si>
    <t>978-5-369-01893-4</t>
  </si>
  <si>
    <t>764496.01.01</t>
  </si>
  <si>
    <t>Правоведение: Уч. / Т.Ю.Епифанцева и др. - М.:НИЦ ИНФРА-М,2022 - 428 с.-(СПО)(П)</t>
  </si>
  <si>
    <t>Епифанцева Т.Ю., Загвозкина М.Я., Захарова О.Н. и др.</t>
  </si>
  <si>
    <t>978-5-16-017162-3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</si>
  <si>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образовательную программу СПО (протокол от 21.04.2021 № 4)</t>
  </si>
  <si>
    <t>651591.02.01</t>
  </si>
  <si>
    <t>Правоведение: Уч. / Т.Ю.Епифанцева и др. - М.:НИЦ ИНФРА-М,2023 - 428 с.-(ВО: Бакалавриат)(П)</t>
  </si>
  <si>
    <t>978-5-16-016668-1</t>
  </si>
  <si>
    <t>00.03.08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</si>
  <si>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неюридическим направлениям подготовки бакалавриата (протокол № 2 от 17.02.2021)</t>
  </si>
  <si>
    <t>431400.07.01</t>
  </si>
  <si>
    <t>Правовое обесп. созд. скважин как горного. недвиж. имущ.: Моногр. /П.П.Гончаров -М.:Юр.Норма, НИЦ ИНФРА-М, 2024-384с.(п)</t>
  </si>
  <si>
    <t>ПРАВОВОЕ ОБЕСПЕЧЕНИЕ СОЗДАНИЯ СКВАЖИН КАК ГОРНОГО НЕДВИЖИМОГО ИМУЩЕСТВА: ЗЕМЕЛЬНЫЙ, ГРАДОСТРОИТЕЛЬНЫЙ И УЧЕТНО-РЕГИСТРАЦИОННЫЙ АСПЕКТЫ</t>
  </si>
  <si>
    <t>Гончаров П. П.</t>
  </si>
  <si>
    <t>978-5-91768-349-2</t>
  </si>
  <si>
    <t>40.03.01, 40.04.01, 21.05.06, 21.05.05, 21.03.01</t>
  </si>
  <si>
    <t>232900.12.01</t>
  </si>
  <si>
    <t>Правовое обеспеч. проф. деят.: Уч. / А.И.Тыщенко, - 4 изд.-М.:ИЦ РИОР, НИЦ ИНФРА-М,2022.-221 с.(СПО)(П)</t>
  </si>
  <si>
    <t>ПРАВОВОЕ ОБЕСПЕЧЕНИЕ ПРОФЕССИОНАЛЬНОЙ ДЕЯТЕЛЬНОСТИ, ИЗД.4</t>
  </si>
  <si>
    <t>Тыщенко А. И.</t>
  </si>
  <si>
    <t>978-5-369-01657-2</t>
  </si>
  <si>
    <t>43.02.08, 13.02.07, 15.02.11, 43.02.14, 00.02.08</t>
  </si>
  <si>
    <t>Котовский промышленно-экономический техникум</t>
  </si>
  <si>
    <t>232900.13.01</t>
  </si>
  <si>
    <t>Правовое обеспеч. проф. деят.: Уч. / А.И.Тыщенко, - 5 изд.-М.:ИЦ РИОР, НИЦ ИНФРА-М,2024.-212 с.(СПО)(п)</t>
  </si>
  <si>
    <t>ПРАВОВОЕ ОБЕСПЕЧЕНИЕ ПРОФЕССИОНАЛЬНОЙ ДЕЯТЕЛЬНОСТИ, ИЗД.5</t>
  </si>
  <si>
    <t>978-5-369-01944-3</t>
  </si>
  <si>
    <t>0524</t>
  </si>
  <si>
    <t>795828.01.01</t>
  </si>
  <si>
    <t>Правовое обеспечение гос. управ. в...: Моногр. / С.В.Иванова-М.:НИЦ ИНФРА-М,2023.-180 с.(Науч.мысль)(п)</t>
  </si>
  <si>
    <t>ПРАВОВОЕ ОБЕСПЕЧЕНИЕ ГОСУДАРСТВЕННОГО УПРАВЛЕНИЯ В ОБЛАСТИ ОХРАНЫ И ИСПОЛЬЗОВАНИЯ ОБЪЕКТОВ ЖИВОТНОГО МИРА</t>
  </si>
  <si>
    <t>Иванова С.В., Ястребов О.А.</t>
  </si>
  <si>
    <t>978-5-16-018127-1</t>
  </si>
  <si>
    <t>40.05.04, 40.05.02, 40.05.03, 38.05.02, 40.06.01</t>
  </si>
  <si>
    <t>473150.06.01</t>
  </si>
  <si>
    <t>Правовое обеспечение государст. и муниц. упр.: Уч.пос. / С.Н.Кленов-М.:НИЦ ИНФРА-М,2022-268с.(ВО)(П)</t>
  </si>
  <si>
    <t>ПРАВОВОЕ ОБЕСПЕЧЕНИЕ ГОСУДАРСТВЕННОГО И МУНИЦИПАЛЬНОГО УПРАВЛЕНИЯ</t>
  </si>
  <si>
    <t>Кленов С.Н., Кричинский П.Е., Новиков С.Н.</t>
  </si>
  <si>
    <t>978-5-16-010110-1</t>
  </si>
  <si>
    <t>40.05.04, 40.03.01, 38.04.04, 40.05.01, 40.05.02, 40.05.03, 38.03.04, 44.03.05</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</si>
  <si>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t>
  </si>
  <si>
    <t>763892.04.01</t>
  </si>
  <si>
    <t>Правовое обеспечение землеустройства и кадастров: Уч.пос. / С.А.Липски-М.:НИЦ ИНФРА-М,2022.-187с(ВО)(П)</t>
  </si>
  <si>
    <t>ПРАВОВОЕ ОБЕСПЕЧЕНИЕ ЗЕМЛЕУСТРОЙСТВА И КАДАСТРОВ</t>
  </si>
  <si>
    <t>978-5-16-018659-7</t>
  </si>
  <si>
    <t>21.03.02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</si>
  <si>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 (протокол № 1 от 12.01.2022)</t>
  </si>
  <si>
    <t>687319.04.01</t>
  </si>
  <si>
    <t>Правовое обеспечение индустрии моды: Уч.пос. / Н.А.Шебанова - М.:Юр.Норма,НИЦ ИНФРА-М,2023-192 с.(П)</t>
  </si>
  <si>
    <t>ПРАВОВОЕ ОБЕСПЕЧЕНИЕ ИНДУСТРИИ МОДЫ</t>
  </si>
  <si>
    <t>978-5-91768-950-0</t>
  </si>
  <si>
    <t>40.05.04, 40.03.01, 43.03.01, 40.05.01, 40.05.02, 40.05.03</t>
  </si>
  <si>
    <t>406400.07.01</t>
  </si>
  <si>
    <t>Правовое обеспечение инновац. деят.: Моногр./О.А.Городов - М.: НИЦ Инфра-М, 2023-209с.(Науч. мысль) (о)</t>
  </si>
  <si>
    <t>ПРАВОВОЕ ОБЕСПЕЧЕНИЕ ИННОВАЦИОННОЙ ДЕЯТЕЛЬНОСТИ</t>
  </si>
  <si>
    <t>Городов О. А.</t>
  </si>
  <si>
    <t>978-5-16-005798-9</t>
  </si>
  <si>
    <t>40.03.01, 40.04.01, 38.04.01, 38.04.02, 38.03.01, 38.03.02, 38.03.04, 44.03.05, 41.03.06</t>
  </si>
  <si>
    <t>114050.18.01</t>
  </si>
  <si>
    <t>Правовое обеспечение проф. деят.: Уч. / А.Г.Хабибулин - 2 изд.-М.:ИД Форум, НИЦ ИНФРА-М,2023-364с.-(П)(СПО)</t>
  </si>
  <si>
    <t>ПРАВОВОЕ ОБЕСПЕЧЕНИЕ ПРОФЕССИОНАЛЬНОЙ ДЕЯТЕЛЬНОСТИ, ИЗД.2</t>
  </si>
  <si>
    <t>Хабибулин А.Г., Мурсалимов К.Р.</t>
  </si>
  <si>
    <t>978-5-8199-0874-7</t>
  </si>
  <si>
    <t>43.02.08, 21.02.09, 08.02.07, 08.02.08, 31.02.01, 34.02.02, 10.02.04, 15.02.11, 43.02.14, 15.02.15, 00.02.08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</si>
  <si>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неюридическим специальностям (протокол № 17 от 11.11.2019)</t>
  </si>
  <si>
    <t>758549.01.01</t>
  </si>
  <si>
    <t>Правовое обеспечение проф. деят.: Уч. / Г.С.Працко - М.:ИЦ РИОР, НИЦ ИНФРА-М,2021 - 177 с.(СПО)(П)</t>
  </si>
  <si>
    <t>ПРАВОВОЕ ОБЕСПЕЧЕНИЕ ПРОФЕССИОНАЛЬНОЙ ДЕЯТЕЛЬНОСТИ</t>
  </si>
  <si>
    <t>978-5-369-01869-9</t>
  </si>
  <si>
    <t>753340.04.01</t>
  </si>
  <si>
    <t>Правовое обеспечение проф. деят.: Уч. / Г.С.Працко-М.:ИЦ РИОР, НИЦ ИНФРА-М,2023.-311 с.(ВО)(П)</t>
  </si>
  <si>
    <t>978-5-369-01867-5</t>
  </si>
  <si>
    <t>094870.12.01</t>
  </si>
  <si>
    <t>Правовое обеспечение проф. деятельности: Крат.курс /Р.Ф.Матвеев-М:Форум,НИЦ ИНФРА-М,2024-128-(ПО)</t>
  </si>
  <si>
    <t>ПРАВОВОЕ ОБЕСПЕЧЕНИЕ ПРОФЕССИОНАЛЬНОЙ ДЕЯТЕЛЬНОСТИ, ИЗД.3</t>
  </si>
  <si>
    <t>Матвеев Р. Ф.</t>
  </si>
  <si>
    <t>978-5-00091-063-4</t>
  </si>
  <si>
    <t>Краткий курс</t>
  </si>
  <si>
    <t>08.02.01, 34.02.02, 00.02.08</t>
  </si>
  <si>
    <t>Российский государственный гуманитарный университет РГГУ</t>
  </si>
  <si>
    <t>233100.04.01</t>
  </si>
  <si>
    <t>Правовое обеспечение проф.деят.: Уч. пос./А.И.Тыщенко -2 изд.-М.:ИЦ РИОР, НИЦ ИНФРА-М,2020-203с(О)</t>
  </si>
  <si>
    <t>Тыщенко А.И.</t>
  </si>
  <si>
    <t>978-5-369-01466-0</t>
  </si>
  <si>
    <t>21.02.13, 13.02.07, 15.02.11, 00.02.08</t>
  </si>
  <si>
    <t>114050.14.01</t>
  </si>
  <si>
    <t>Правовое обеспечение проф.деятел.: Уч. / А.Г.Хабибулин - М.:ИД ФОРУМ,НИЦ ИНФРА-М,2019-336с.(ПО)(п)</t>
  </si>
  <si>
    <t>Хабибулин А. Г., Мурсалимов К. Р.</t>
  </si>
  <si>
    <t>978-5-8199-0717-7</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</si>
  <si>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</si>
  <si>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428050.13.01</t>
  </si>
  <si>
    <t>Правовое обеспечение профессиональной деят.: Уч. / М.А.Гуреева-М:ИД ФОРУМ,НИЦ ИНФРА-М,2024-239с(СПО)</t>
  </si>
  <si>
    <t>Гуреева М. А.</t>
  </si>
  <si>
    <t>978-5-8199-0743-6</t>
  </si>
  <si>
    <t>21.02.09, 31.02.01, 15.02.11, 00.02.08</t>
  </si>
  <si>
    <t>Рекомендовано в качестве учебника для студентов учреждений среднего профессионального образования</t>
  </si>
  <si>
    <t>336700.06.01</t>
  </si>
  <si>
    <t>Правовое обеспечение соц. работы: Уч. / А.А.Акмалова - М.:НИЦ ИНФРА-М,2023 - 289 с.(ВО: Бакалавр.)(П)</t>
  </si>
  <si>
    <t>ПРАВОВОЕ ОБЕСПЕЧЕНИЕ СОЦИАЛЬНОЙ РАБОТЫ</t>
  </si>
  <si>
    <t>978-5-16-010698-4</t>
  </si>
  <si>
    <t>40.05.04, 40.05.01, 40.05.02, 40.05.03, 39.03.02</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</si>
  <si>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39.03.02 «Социальнаяработа» (квалификация (степень) «бакалавр»)</t>
  </si>
  <si>
    <t>775476.02.01</t>
  </si>
  <si>
    <t>Правовое обеспечение социальной работы: Уч. / А.А.Акмалова - М.:НИЦ ИНФРА-М,2022 - 289 с.-(СПО)(П)</t>
  </si>
  <si>
    <t>978-5-16-017561-4</t>
  </si>
  <si>
    <t>40.02.01, 39.02.01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</si>
  <si>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39.02.01 «Социальная работа» (протокол № 10 от 15.12.2021)</t>
  </si>
  <si>
    <t>671266.02.01</t>
  </si>
  <si>
    <t>Правовое положение, труд и повседневная жизнь детей..: Моногр. / И.В.Синова - М.:НИЦ ИНФРА-М,2022 - 280 с.(П)</t>
  </si>
  <si>
    <t>ПРАВОВОЕ ПОЛОЖЕНИЕ, ТРУД И ПОВСЕДНЕВНАЯ ЖИЗНЬ ДЕТЕЙ ВО ВТОРОЙ ПОЛОВИНЕ XIX - НАЧАЛЕ XX ВЕКА</t>
  </si>
  <si>
    <t>Синова И.В.</t>
  </si>
  <si>
    <t>978-5-16-013742-1</t>
  </si>
  <si>
    <t>46.03.01, 46.04.01, 40.04.01, 42.04.02, 39.04.02, 39.04.01, 44.03.01, 51.03.01</t>
  </si>
  <si>
    <t>700569.03.01</t>
  </si>
  <si>
    <t>Правовое пространство: границы и динамика: Моногр. / Ю.А.Тихомиров.-М.:НИЦ ИНФРА-М,2021.-240 с.(ИЗиСП)(П)</t>
  </si>
  <si>
    <t>ПРАВОВОЕ ПРОСТРАНСТВО: ГРАНИЦЫ И ДИНАМИКА</t>
  </si>
  <si>
    <t>Тихомиров Ю.А., Головина А.А., Плюгина И.В. и др.</t>
  </si>
  <si>
    <t>978-5-16-014736-9</t>
  </si>
  <si>
    <t>645639.02.01</t>
  </si>
  <si>
    <t>Правовое регул. использ. и охраны биол..: Науч.-практ.пос./ С.А.Боголюбов-М:НИЦ ИНФРА-М,2018-328с(п)</t>
  </si>
  <si>
    <t>ПРАВОВОЕ РЕГУЛИРОВАНИЕ ИСПОЛЬЗОВАНИЯ И ОХРАНЫ БИОЛОГИЧЕСКИХ РЕСУРСОВ</t>
  </si>
  <si>
    <t>978-5-16-012417-9</t>
  </si>
  <si>
    <t>40.02.02, 40.03.01, 20.03.02</t>
  </si>
  <si>
    <t>664199.02.01</t>
  </si>
  <si>
    <t>Правовое регул.расходов бюдж.субъекта РФ: Моногр. / А.Пятковская-М.:Юр.Норма, НИЦ ИНФРА-М,2019-288с.</t>
  </si>
  <si>
    <t>ПРАВОВОЕ РЕГУЛИРОВАНИЕ РАСХОДОВ БЮДЖЕТА СУБЪЕКТА РФ</t>
  </si>
  <si>
    <t>Пятковская А.</t>
  </si>
  <si>
    <t>978-5-91768-852-7</t>
  </si>
  <si>
    <t>670770.04.01</t>
  </si>
  <si>
    <t>Правовое регулир. аудит. деят.: Уч.пос. / Е.Ю.Грачева - 2 изд.-М.:Юр. НОРМА, НИЦ ИНФРА-М,2024.-144с(П)</t>
  </si>
  <si>
    <t>ПРАВОВОЕ РЕГУЛИРОВАНИЕ АУДИТОРСКОЙ ДЕЯТЕЛЬНОСТИ, ИЗД.2</t>
  </si>
  <si>
    <t>Грачева Е.Ю., Арзуманова Л.Л., Лагкуева И.В. и др.</t>
  </si>
  <si>
    <t>978-5-00156-325-9</t>
  </si>
  <si>
    <t>40.05.04, 40.03.01, 38.04.09, 40.04.01, 38.04.01, 38.04.08, 38.04.02, 40.05.01, 40.05.02, 40.05.03, 38.05.01, 44.03.05</t>
  </si>
  <si>
    <t>301500.09.01</t>
  </si>
  <si>
    <t>Правовое регулир. внешнеэконом. деят...:Уч.пос. / Л.М.Позднякова- 3-изд-М.:Юр.Норма, НИЦ ИНФРА-М,2024-192 с(п)</t>
  </si>
  <si>
    <t>ПРАВОВОЕ РЕГУЛИРОВАНИЕ ВНЕШНЕЭКОНОМИЧЕСКОЙ ДЕЯТЕЛЬНОСТИ (РОССИЙСКОЕ ГРАЖДАНСКОЕ И МЕЖДУНАРОДНОЕ ЧАСТНОЕ ПРАВО), ИЗД.3</t>
  </si>
  <si>
    <t>Позднякова Л.М.</t>
  </si>
  <si>
    <t>978-5-00156-004-3</t>
  </si>
  <si>
    <t>40.05.04, 40.03.01, 40.04.01, 38.04.01, 38.04.06, 40.05.01, 40.05.02, 40.05.03, 38.03.01, 38.03.06</t>
  </si>
  <si>
    <t>636922.05.01</t>
  </si>
  <si>
    <t>Правовое регулир. денежного обращения: Моногр. / Н.М.Артемов -М.:Юр.Норма,НИЦ ИНФРА-М,2022-96с.(О)</t>
  </si>
  <si>
    <t>ПРАВОВОЕ РЕГУЛИРОВАНИЕ ДЕНЕЖНОГО ОБРАЩЕНИЯ (ДЕНЕЖНОЕ ПРАВО)</t>
  </si>
  <si>
    <t>Артемов Н.М., Лагутин И.Б., Ситник А.А. и др.</t>
  </si>
  <si>
    <t>978-5-91768-756-8</t>
  </si>
  <si>
    <t>38.04.01, 38.04.08, 38.06.01, 40.06.01, 44.03.05</t>
  </si>
  <si>
    <t>684235.03.01</t>
  </si>
  <si>
    <t>Правовое регулир. иностранных инвест. в экономике России.../ М.В.Мельничук.-М.:НИЦ ИНФРА-М,2021-138с(О)</t>
  </si>
  <si>
    <t>ПРАВОВОЕ РЕГУЛИРОВАНИЕ ИНОСТРАННЫХ ИНВЕСТИЦИЙ В ЭКОНОМИКЕ РОССИИ: ОПЫТ КИТАЯ</t>
  </si>
  <si>
    <t>Мельничук М.В., Демченко М.В., Ручкина Г.Ф. и др.</t>
  </si>
  <si>
    <t>978-5-16-016883-8</t>
  </si>
  <si>
    <t>40.03.01, 38.04.09, 38.04.08, 38.03.01, 38.03.02, 44.03.01, 44.03.05, 41.03.06</t>
  </si>
  <si>
    <t>645634.05.01</t>
  </si>
  <si>
    <t>Правовое регулир. испол. охраны лесов по законод. РФ: Моногр. / Кочнов Д.И.-М.:НИЦ ИНФРА-М,2023-272с(о)</t>
  </si>
  <si>
    <t>ПРАВОВОЕ РЕГУЛИРОВАНИЕ ИСПОЛЬЗОВАНИЯ И ОХРАНЫ ЛЕСОВ ПО ЗАКОНОДАТЕЛЬСТВУ РОССИЙСКОЙ ФЕДЕРАЦИИ И ЗАРУБЕЖНЫХ СТРАН</t>
  </si>
  <si>
    <t>Кочнов Д.И., Шуплецова Ю.И.</t>
  </si>
  <si>
    <t>978-5-16-012416-2</t>
  </si>
  <si>
    <t>768621.01.01</t>
  </si>
  <si>
    <t>Правовое регулир. межнац. отнош. в РФ...: Науч.-прак. пос. / Л.В.Андриченко- М.:Юр. НОРМА, НИЦ ИНФРА-М, 2022. - 296 с.(П)</t>
  </si>
  <si>
    <t>ПРАВОВОЕ РЕГУЛИРОВАНИЕ МЕЖНАЦИОНАЛЬНЫХ ОТНОШЕНИЙ В РОССИЙСКОЙ ФЕДЕРАЦИИ: ПРОБЛЕМЫ ТЕОРИИ И ПРАКТИКИ</t>
  </si>
  <si>
    <t>Андриченко Л.В., Постников А.Е., Васильева Л.Н. и др.</t>
  </si>
  <si>
    <t>978-5-00156-214-6</t>
  </si>
  <si>
    <t>40.05.04, 40.03.01, 40.04.01, 38.04.04, 40.05.01, 40.05.02, 40.06.01</t>
  </si>
  <si>
    <t>798325.01.01</t>
  </si>
  <si>
    <t>Правовое регулир. оказания ветеринарных услуг: Моногр. / Р.И.Алиев-М.:НИЦ ИНФРА-М,2023.-128 с.(о)</t>
  </si>
  <si>
    <t>ПРАВОВОЕ РЕГУЛИРОВАНИЕ ОКАЗАНИЯ ВЕТЕРИНАРНЫХ УСЛУГ</t>
  </si>
  <si>
    <t>Алиев Р.И.</t>
  </si>
  <si>
    <t>978-5-16-018269-8</t>
  </si>
  <si>
    <t>40.04.01, 36.04.01, 36.05.01, 36.06.01, 40.06.01, 36.03.01</t>
  </si>
  <si>
    <t>Новосибирский государственный университет</t>
  </si>
  <si>
    <t>715620.03.01</t>
  </si>
  <si>
    <t>Правовое регулир. расторжения брака: опыт США: Моногр. / Е.В.Розанова - М.:НИЦ ИНФРА-М,2023-212с(О)</t>
  </si>
  <si>
    <t>ПРАВОВОЕ РЕГУЛИРОВАНИЕ РАСТОРЖЕНИЯ БРАКА: ОПЫТ СОЕДИНЕННЫХ ШТАТОВ АМЕРИКИ</t>
  </si>
  <si>
    <t>Розанова Е.В.</t>
  </si>
  <si>
    <t>978-5-16-015522-7</t>
  </si>
  <si>
    <t>682760.04.01</t>
  </si>
  <si>
    <t>Правовое регулир.бух.и налогового учета: Уч. / Н.Ю.Орлова - М.:Юр.Норма, НИЦ ИНФРА-М,2020 - 128с(О)</t>
  </si>
  <si>
    <t>ПРАВОВОЕ РЕГУЛИРОВАНИЕ БУХГАЛТЕРСКОГО И НАЛОГОВОГО УЧЕТА</t>
  </si>
  <si>
    <t>Орлова Н.Ю.</t>
  </si>
  <si>
    <t>978-5-91768-914-2</t>
  </si>
  <si>
    <t>40.05.04, 40.04.01, 38.04.01, 40.05.01, 40.05.02, 40.05.03</t>
  </si>
  <si>
    <t>301500.04.01</t>
  </si>
  <si>
    <t>Правовое регулир.внешнеэконом.деят.: Уч.пос. /Л.М.Позднякова-2изд.-М.:Юр.Норма,НИЦ ИНФРА-М,2018-192с</t>
  </si>
  <si>
    <t>ПРАВОВОЕ РЕГУЛИРОВАНИЕ ВНЕШНЕЭКОНОМИЧЕСКОЙ ДЕЯТЕЛЬНОСТИ (РОССИЙСКОЕ ГРАЖДАНСКОЕ И МЕЖДУНАРОДНОЕ ЧАСТНОЕ ПРАВО), ИЗД.2</t>
  </si>
  <si>
    <t>978-5-91768-535-9</t>
  </si>
  <si>
    <t>679406.04.01</t>
  </si>
  <si>
    <t>Правовое регулир.возмещения экол.вреда: Научно-практ.пос. / С.А.Боголюбов-М.:НИЦ ИНФРА-М, ИЗиСП,2022-368с(П)</t>
  </si>
  <si>
    <t>ПРАВОВОЕ РЕГУЛИРОВАНИЕ ВОЗМЕЩЕНИЯ ЭКОЛОГИЧЕСКОГО ВРЕДА</t>
  </si>
  <si>
    <t>Боголюбов С.А., Болтанова Е.С., Бринчук М.М. и др.</t>
  </si>
  <si>
    <t>978-5-16-013702-5</t>
  </si>
  <si>
    <t>700571.02.01</t>
  </si>
  <si>
    <t>Правовое регулиров.стратег. планиров.в сфере...: Моногр. / Е.В. Кудряшова - М.:НИЦ ИНФРА-М,2023-304с</t>
  </si>
  <si>
    <t>ПРАВОВОЕ РЕГУЛИРОВАНИЕ СТРАТЕГИЧЕСКОГО ПЛАНИРОВАНИЯ В СФЕРЕ ГОСУДАРСТВЕННЫХ ФИНАНСОВ</t>
  </si>
  <si>
    <t>Кудряшова Е.В.</t>
  </si>
  <si>
    <t>978-5-16-014732-1</t>
  </si>
  <si>
    <t>Сибирский университет потребительской кооперации</t>
  </si>
  <si>
    <t>670770.03.01</t>
  </si>
  <si>
    <t>Правовое регулирование аудиторской деят.: Уч.пос./ Е.Ю.Грачева-М.:Юр.Норма, НИЦ ИНФРА-М,2020-128с(О)</t>
  </si>
  <si>
    <t>ПРАВОВОЕ РЕГУЛИРОВАНИЕ АУДИТОРСКОЙ ДЕЯТЕЛЬНОСТИ</t>
  </si>
  <si>
    <t>978-5-91768-876-3</t>
  </si>
  <si>
    <t>632597.03.01</t>
  </si>
  <si>
    <t>Правовое регулирование бух.учета: Уч. / Отв. ред. Грачева Е.Ю.-М.:Юр.Норма, НИЦ ИНФРА-М,2019-320с(П)</t>
  </si>
  <si>
    <t>ПРАВОВОЕ РЕГУЛИРОВАНИЕ БУХГАЛТЕРСКОГО УЧЕТА</t>
  </si>
  <si>
    <t>Арзуманова Л.Л., Болтинова О.В., Бубнова О.Ю. и др.</t>
  </si>
  <si>
    <t>40.05.04, 40.03.01, 40.05.01, 40.05.02, 40.05.03, 38.03.01, 44.03.05</t>
  </si>
  <si>
    <t>632597.05.01</t>
  </si>
  <si>
    <t>Правовое регулирование бух.учета: Уч./ Отв. ред. Грачева Е.Ю.-2изд.-М.:Юр.Норма, НИЦ ИНФРА-М,2024-336с(П)</t>
  </si>
  <si>
    <t>ПРАВОВОЕ РЕГУЛИРОВАНИЕ БУХГАЛТЕРСКОГО УЧЕТА, ИЗД.2</t>
  </si>
  <si>
    <t>978-5-00156-316-7</t>
  </si>
  <si>
    <t>203800.08.01</t>
  </si>
  <si>
    <t>Правовое регулирование городской деят. и жилищ...: Уч. / В.И.Римшин - 4 изд.-НИЦ Инфра-М,2022 - 461с.(п)</t>
  </si>
  <si>
    <t>ПРАВОВОЕ РЕГУЛИРОВАНИЕ ГОРОДСКОЙ ДЕЯТЕЛЬНОСТИ И ЖИЛИЩНОЕ ЗАКОНОДАТЕЛЬСТВО, ИЗД.4</t>
  </si>
  <si>
    <t>Римшин В.И., Греджев В.А., Римшин В.И.</t>
  </si>
  <si>
    <t>978-5-16-013643-1</t>
  </si>
  <si>
    <t>40.05.04, 40.03.01, 07.03.04, 40.04.01, 07.04.04, 40.05.01, 40.05.02, 40.05.03, 44.03.05</t>
  </si>
  <si>
    <t>Рекомендовано  Учебно-методическим объединением вузов Российской Федерации по образованию в области строительства в качестве учебника для студентов, обучающихся по направлению подготовки 08.04.01 «Строительство»</t>
  </si>
  <si>
    <t>203800.04.01</t>
  </si>
  <si>
    <t>Правовое регулирование городской деят. и жилищ...: Уч./В.И.Римшин - 2 изд.-НИЦ Инфра-М,2017-461с.(п)</t>
  </si>
  <si>
    <t>ПРАВОВОЕ РЕГУЛИРОВАНИЕ ГОРОДСКОЙ ДЕЯТЕЛЬНОСТИ И ЖИЛИЩНОЕ ЗАКОНОДАТЕЛЬСТВО, ИЗД.2</t>
  </si>
  <si>
    <t>978-5-16-006110-8</t>
  </si>
  <si>
    <t>Рекомендовано Учебно-методическим объединением вузов Российской Федерации по образованию в области строительства в качестве учебника для студентов, обучающихся по направлению 270100 «Строительство»</t>
  </si>
  <si>
    <t>684386.03.01</t>
  </si>
  <si>
    <t>Правовое регулирование деят. институтов развития: Моногр. / М.В.Демченко-М.:НИЦ ИНФРА-М,2023-168с(О)</t>
  </si>
  <si>
    <t>ПРАВОВОЕ РЕГУЛИРОВАНИЕ ДЕЯТЕЛЬНОСТИ ИНСТИТУТОВ РАЗВИТИЯ</t>
  </si>
  <si>
    <t>Демченко М.В., Ручкина Г.Ф., Петюкова О.Н. и др.</t>
  </si>
  <si>
    <t>978-5-16-014215-9</t>
  </si>
  <si>
    <t>686027.04.01</t>
  </si>
  <si>
    <t>Правовое регулирование огранич.оборотоспособ...: Моногр. / У.В.Корнилова-М.:НИЦ ИНФРА-М,2023-109с(О)</t>
  </si>
  <si>
    <t>ПРАВОВОЕ РЕГУЛИРОВАНИЕ ОГРАНИЧЕНИЙ ОБОРОТОСПОСОБНОСТИ ЗЕМЕЛЬНЫХ УЧАСТКОВ</t>
  </si>
  <si>
    <t>Корнилова У.В., Мельников Н.Н.</t>
  </si>
  <si>
    <t>978-5-16-014265-4</t>
  </si>
  <si>
    <t>695063.03.01</t>
  </si>
  <si>
    <t>Правовое регулирование судеб. нормоконтроля..: Моногр./ А.А.Соловьёв-М.:НИЦ ИНФРА-М,2020.-219 с.(Науч.мысль)(О)</t>
  </si>
  <si>
    <t>ПРАВОВОЕ РЕГУЛИРОВАНИЕ СУДЕБНОГО НОРМОКОНТРОЛЯ: ОПЫТ ЗАРУБЕЖНЫХ ГОСУДАРСТВ</t>
  </si>
  <si>
    <t>978-5-16-014635-5</t>
  </si>
  <si>
    <t>692967.04.01</t>
  </si>
  <si>
    <t>Правовое регулирование финанс. контроля...: Уч. / Е.Ю.Грачева - 2 изд. - М.:Юр.Норма, НИЦ ИНФРА-М,2022-208с.(П)</t>
  </si>
  <si>
    <t>ПРАВОВОЕ РЕГУЛИРОВАНИЕ ФИНАНСОВОГО КОНТРОЛЯ. ВИДЫ, ФОРМЫ И МЕТОДЫ ФИНАНСОВОГО КОНТРОЛЯ И НАДЗОРА, ИЗД.2</t>
  </si>
  <si>
    <t>Грачева Е.Ю., Болтинова О.В.</t>
  </si>
  <si>
    <t>978-5-00156-224-5</t>
  </si>
  <si>
    <t>692967.02.01</t>
  </si>
  <si>
    <t>Правовое регулирование финансового контроля...: Уч. / Е.Ю.Грачева-М.:Юр.Норма, НИЦ ИНФРА-М,2020-208с.(П)</t>
  </si>
  <si>
    <t>ПРАВОВОЕ РЕГУЛИРОВАНИЕ ФИНАНСОВОГО КОНТРОЛЯ. ВИДЫ, ФОРМЫ И МЕТОДЫ ФИНАНСОВОГО КОНТРОЛЯ И НАДЗОРА</t>
  </si>
  <si>
    <t>978-5-91768-964-7</t>
  </si>
  <si>
    <t>792935.01.01</t>
  </si>
  <si>
    <t>Правовое регулирование цифровой нац. платежной системы РФ: Уч.-М.:Юр. НОРМА, НИЦ ИНФРА-М,2023-248с.(П)</t>
  </si>
  <si>
    <t>ПРАВОВОЕ РЕГУЛИРОВАНИЕ ЦИФРОВОЙ НАЦИОНАЛЬНОЙ ПЛАТЕЖНОЙ СИСТЕМЫ РФ</t>
  </si>
  <si>
    <t>978-5-00156-276-4</t>
  </si>
  <si>
    <t>40.04.01, 38.04.01, 38.04.05, 10.05.04, 40.05.03</t>
  </si>
  <si>
    <t>642424.03.01</t>
  </si>
  <si>
    <t>Правовое регулирование эконом. деят.: Моногр. / И.В.Ершова - М.:Юр.Норма,НИЦ ИНФРА-М,2019-464с.(П)</t>
  </si>
  <si>
    <t>ПРАВОВОЕ РЕГУЛИРОВАНИЕ ЭКОНОМИЧЕСКОЙ ДЕЯТЕЛЬНОСТИ: ЕДИНСТВО И ДИФФЕРЕНЦИАЦИЯ</t>
  </si>
  <si>
    <t>Ершова И.В., Мохов А.А., Аганина Р.Н. и др.</t>
  </si>
  <si>
    <t>978-5-91768-779-7</t>
  </si>
  <si>
    <t>40.03.01, 38.04.01, 38.04.02, 38.04.04, 38.05.01, 38.03.01, 38.03.02, 38.03.04</t>
  </si>
  <si>
    <t>699386.04.01</t>
  </si>
  <si>
    <t>Правовой механизм обеспеч. рационал...: Моногр. / Е.А.Галиновская - М.:НИЦ ИНФРА-М,2022 - 312 с.(П)</t>
  </si>
  <si>
    <t>ПРАВОВОЙ МЕХАНИЗМ ОБЕСПЕЧЕНИЯ РАЦИОНАЛЬНОГО ИСПОЛЬЗОВАНИЯ ПРИРОДНЫХ РЕСУРСОВ</t>
  </si>
  <si>
    <t>Галиновская Е.А., Агафонов В.Б., Боголюбов C.А. и др.</t>
  </si>
  <si>
    <t>978-5-16-014692-8</t>
  </si>
  <si>
    <t>775348.01.01</t>
  </si>
  <si>
    <t>Правовой механизм реализации амнистии в РФ...: Моногр. / Н.И.Полищук-М.:НИЦ ИНФРА-М,2023.-205с(О)</t>
  </si>
  <si>
    <t>ПРАВОВОЙ МЕХАНИЗМ РЕАЛИЗАЦИИ АМНИСТИИ В РОССИЙСКОЙ ФЕДЕРАЦИИ И СОЦИАЛЬНЫЕ ПОСЛЕДСТВИЯ ЕЕ ПРИМЕНЕНИЯ</t>
  </si>
  <si>
    <t>Полищук Н.И., Кохман Д.В.</t>
  </si>
  <si>
    <t>978-5-16-017608-6</t>
  </si>
  <si>
    <t>773133.01.01</t>
  </si>
  <si>
    <t>Правовой режим земель и его регулирование: Уч.пос. / С.А.Липски-М.:НИЦ ИНФРА-М,2023.-236 с.(СПО)(п)</t>
  </si>
  <si>
    <t>ПРАВОВОЙ РЕЖИМ ЗЕМЕЛЬ И ЕГО РЕГУЛИРОВАНИЕ</t>
  </si>
  <si>
    <t>978-5-16-017552-2</t>
  </si>
  <si>
    <t>21.02.04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</si>
  <si>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7 от 21.09.2022)</t>
  </si>
  <si>
    <t>632562.04.01</t>
  </si>
  <si>
    <t>Правовой режим лесов по закон. России и заруб..: Моногр. / Ю.И.Шуплецова-М.:НИЦ ИНФРА-М,2020-160с(О)</t>
  </si>
  <si>
    <t>ПРАВОВОЙ РЕЖИМ ЛЕСОВ ПО ЗАКОНОДАТЕЛЬСТВУ РОССИИ И ЗАРУБЕЖНЫХ СТРАН</t>
  </si>
  <si>
    <t>978-5-16-011998-4</t>
  </si>
  <si>
    <t>40.03.01, 35.03.01, 40.04.01</t>
  </si>
  <si>
    <t>694122.01.01</t>
  </si>
  <si>
    <t>Правовой режим Шпицбергена и прилегающих морских районов / А.Н.Вылегжанин.-М.:Юр.Норма,2019.-288с(П)</t>
  </si>
  <si>
    <t>ПРАВОВОЙ РЕЖИМ ШПИЦБЕРГЕНА И ПРИЛЕГАЮЩИХ МОРСКИХ РАЙОНОВ</t>
  </si>
  <si>
    <t>Вылегжанин А.Н., Зиланов В.К., Савва В.М.</t>
  </si>
  <si>
    <t>978-5-91768-975-3</t>
  </si>
  <si>
    <t>40.05.04, 40.03.01, 41.03.05, 41.04.04, 46.04.01, 40.04.01, 41.04.05, 41.04.01, 40.05.01, 40.05.02, 40.05.03, 38.05.02, 41.03.01</t>
  </si>
  <si>
    <t>489550.01.01</t>
  </si>
  <si>
    <t>Правовой статус должностных лиц органов гос. власти субъектов РФ: Моногр./П.А.Виноградова-М.:ИЦ РИОР, НИЦ ИНФРА-М,2015.</t>
  </si>
  <si>
    <t>ПРАВОВОЙ СТАТУС ДОЛЖНОСТНЫХ ЛИЦ ОРГАНОВ ГОСУДАРСТВЕННОЙ ВЛАСТИ СУБЪЕКТОВ РОССИЙСКОЙ ФЕДЕРАЦИИ</t>
  </si>
  <si>
    <t>Виноградова П.А.</t>
  </si>
  <si>
    <t>978-5-369-01435-6</t>
  </si>
  <si>
    <t>40.03.01, 40.04.01, 38.04.04, 38.03.04, 44.03.05</t>
  </si>
  <si>
    <t>674981.08.01</t>
  </si>
  <si>
    <t>Правовой статус оперуполномоч. при провед.опер.-розыск.меропр.: Моногр. / В.Ф.Луговик-М.:НИЦ ИНФРА-М,2024-156с(О)</t>
  </si>
  <si>
    <t>ПРАВОВОЙ СТАТУС ОПЕРУПОЛНОМОЧЕННОГО ПРИ ПРОВЕДЕНИИ ОПЕРАТИВНО-РОЗЫСКНЫХ МЕРОПРИЯТИЙ</t>
  </si>
  <si>
    <t>Луговик В.Ф., Лугович С.М.</t>
  </si>
  <si>
    <t>978-5-16-013526-7</t>
  </si>
  <si>
    <t>Омская академия Министерства внутренних дел Российской Федерации</t>
  </si>
  <si>
    <t>800252.01.01</t>
  </si>
  <si>
    <t>Правовой статус субъектов образоват. отнош. и его влияние.../ Е.Е.Кречетова-М.:НИЦ ИНФРА-М,2023.-197 с.(о)</t>
  </si>
  <si>
    <t>ПРАВОВОЙ СТАТУС СУБЪЕКТОВ ОБРАЗОВАТЕЛЬНЫХ ОТНОШЕНИЙ И ЕГО ВЛИЯНИЕ НА СОСТОЯНИЕ СОВРЕМЕННОГО ОБРАЗОВАНИЯ В РОССИИ И ДРУГИХ ГОСУДАРСТВАХ</t>
  </si>
  <si>
    <t>Кречетова Е.Е., Кривенький А.И., Рублевская Л.В.</t>
  </si>
  <si>
    <t>978-5-16-018339-8</t>
  </si>
  <si>
    <t>44.04.02, 40.04.01, 44.04.01, 44.04.03, 44.04.04, 40.06.01, 44.06.01, 44.03.05</t>
  </si>
  <si>
    <t>Школа № 1542</t>
  </si>
  <si>
    <t>795337.02.01</t>
  </si>
  <si>
    <t>Правовой статус чел. и гражданина в меняющемся мире / А.Е.Постников-М.:Юр.НОРМА, НИЦ ИНФРА-М,2023-248с(П)</t>
  </si>
  <si>
    <t>ПРАВОВОЙ СТАТУС ЧЕЛОВЕКА И ГРАЖДАНИНА В МЕНЯЮЩЕМСЯ МИРЕ</t>
  </si>
  <si>
    <t>Постников А.Е.</t>
  </si>
  <si>
    <t>978-5-00156-280-1</t>
  </si>
  <si>
    <t>315300.03.01</t>
  </si>
  <si>
    <t>Правовые акты органов исполнит. власти: систем. подход: Моногр./В.П.Уманская-Норма:ИНФРА-М,2017-288с</t>
  </si>
  <si>
    <t>ПРАВОВЫЕ АКТЫ ОРГАНОВ ИСПОЛНИТЕЛЬНОЙ ВЛАСТИ: СИСТЕМНЫЙ ПОДХОД</t>
  </si>
  <si>
    <t>Уманская В.П., Россинский Б.В.</t>
  </si>
  <si>
    <t>978-5-91768-549-6</t>
  </si>
  <si>
    <t>788751.01.01</t>
  </si>
  <si>
    <t>Правовые и орг. основы деят. исправит. центров: Моногр. / Л.Ю.Буданова-М.:НИЦ ИНФРА-М,2023.-178 с.(о)</t>
  </si>
  <si>
    <t>ПРАВОВЫЕ И ОРГАНИЗАЦИОННЫЕ ОСНОВЫ ДЕЯТЕЛЬНОСТИ ИСПРАВИТЕЛЬНЫХ ЦЕНТРОВ</t>
  </si>
  <si>
    <t>Буданова Л.Ю., Казак Б.Б., Смирнова И.Н. и др.</t>
  </si>
  <si>
    <t>978-5-16-018078-6</t>
  </si>
  <si>
    <t>40.05.04, 40.05.02, 40.06.01</t>
  </si>
  <si>
    <t>736620.03.01</t>
  </si>
  <si>
    <t>Правовые категории. Методологические аспекты... / А.М.Васильев-М.:Юр.Норма, НИЦ ИНФРА-М,2023.-264с(П)</t>
  </si>
  <si>
    <t>ПРАВОВЫЕ КАТЕГОРИИ. МЕТОДОЛОГИЧЕСКИЕ АСПЕКТЫ РАЗРАБОТКИ СИСТЕМЫ КАТЕГОРИЙ ТЕОРИИ ПРАВА</t>
  </si>
  <si>
    <t>Васильев А.М.</t>
  </si>
  <si>
    <t>978-5-00156-068-5</t>
  </si>
  <si>
    <t>698505.02.01</t>
  </si>
  <si>
    <t>Правовые льготы: Моногр. / И.С.Барзилова - М.:НИЦ ИНФРА-М,2023 - 207 с.-(Науч.мысль)(О)</t>
  </si>
  <si>
    <t>ПРАВОВЫЕ ЛЬГОТЫ</t>
  </si>
  <si>
    <t>Барзилова И.С.</t>
  </si>
  <si>
    <t>978-5-16-014799-4</t>
  </si>
  <si>
    <t>325300.09.01</t>
  </si>
  <si>
    <t>Правовые модели и реальность: Монография / О.А.Акопян и др. - М.:НИЦ ИНФРА-М,2023 - 280 с.-(ИЗиСП)(о)</t>
  </si>
  <si>
    <t>ПРАВОВЫЕ МОДЕЛИ И РЕАЛЬНОСТЬ</t>
  </si>
  <si>
    <t>Акопян О.А., Власова Н.В., Грачева С.А. и др.</t>
  </si>
  <si>
    <t>978-5-16-010542-0</t>
  </si>
  <si>
    <t>695391.03.01</t>
  </si>
  <si>
    <t>Правовые модели управления: Монография / Д.В.Осинцев-М.:НИЦ ИНФРА-М,2023.-309 с..-(Науч.мысль)(П)</t>
  </si>
  <si>
    <t>ПРАВОВЫЕ МОДЕЛИ УПРАВЛЕНИЯ</t>
  </si>
  <si>
    <t>Осинцев Д.В.</t>
  </si>
  <si>
    <t>978-5-16-014628-7</t>
  </si>
  <si>
    <t>453600.03.01</t>
  </si>
  <si>
    <t>Правовые основы госуд.власти в Испании: Моногр. / О.В.Соколова -М.:Юр.Норма,НИЦ ИНФРА-М,2019-96с.(о)</t>
  </si>
  <si>
    <t>ПРАВОВЫЕ ОСНОВЫ ГОСУДАРСТВЕННОЙ ВЛАСТИ В ИСПАНИИ</t>
  </si>
  <si>
    <t>Соколова О.В.</t>
  </si>
  <si>
    <t>978-5-91768-675-2</t>
  </si>
  <si>
    <t>682408.03.01</t>
  </si>
  <si>
    <t>Правовые основы механизма реализации конституц. права.. /Добрынин Н.М.-М.:НИЦ ИНФРА-М,2023-177с(О)</t>
  </si>
  <si>
    <t>ПРАВОВЫЕ ОСНОВЫ МЕХАНИЗМА РЕАЛИЗАЦИИ КОНСТИТУЦИОННОГО ПРАВА НА СОЦИАЛЬНОЕ ОБЕСПЕЧЕНИЕ В РОССИЙСКОЙ ФЕДЕРАЦИИ</t>
  </si>
  <si>
    <t>Байматов П.Н., Добрынин Н.М., Добрынин Н.М. и др.</t>
  </si>
  <si>
    <t>978-5-16-014559-4</t>
  </si>
  <si>
    <t>41.04.04, 46.04.01, 40.04.01, 41.04.02, 44.04.01, 38.04.04</t>
  </si>
  <si>
    <t>147250.14.01</t>
  </si>
  <si>
    <t>Правовые основы опер.-розыск. меропр.: Уч.пос. / О.В.Фирсов - 5 изд.-М.:Юр.Норма, НИЦ ИНФРА-М,2023.-208с(П)</t>
  </si>
  <si>
    <t>ПРАВОВЫЕ ОСНОВЫ ОПЕРАТИВНО-РОЗЫСКНЫХ МЕРОПРИЯТИЙ, ИЗД.5</t>
  </si>
  <si>
    <t>Фирсов О.В.</t>
  </si>
  <si>
    <t>978-5-00156-028-9</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</si>
  <si>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"Юриспруденция" и специальности "Юриспруденция"</t>
  </si>
  <si>
    <t>Забайкальский государственный университет</t>
  </si>
  <si>
    <t>147250.08.01</t>
  </si>
  <si>
    <t>Правовые основы опер.-розыск. меропр.: Уч.пос. /О.В.Фирсов-4изд. -М.: Юр.Норма,НИЦ ИНФРА-М,2019-208с</t>
  </si>
  <si>
    <t>ПРАВОВЫЕ ОСНОВЫ ОПЕРАТИВНО-РОЗЫСКНЫХ МЕРОПРИЯТИЙ, ИЗД.4</t>
  </si>
  <si>
    <t>978-5-91768-700-1</t>
  </si>
  <si>
    <t>694254.01.01</t>
  </si>
  <si>
    <t>Правовые основы орг. взаимного страхов. в России...: Моногр. / В.М.Бартош - М.:НИЦ ИНФРА-М,2019-252с</t>
  </si>
  <si>
    <t>ПРАВОВЫЕ ОСНОВЫ ОРГАНИЗАЦИИ ВЗАИМНОГО СТРАХОВАНИЯ В РОССИИ: ПРОБЛЕМЫ ТЕОРИИ И ПРАКТИКИ</t>
  </si>
  <si>
    <t>Бартош В.М.</t>
  </si>
  <si>
    <t>978-5-16-014603-4</t>
  </si>
  <si>
    <t>38.03.01</t>
  </si>
  <si>
    <t>443800.06.01</t>
  </si>
  <si>
    <t>Правовые основы прикладной  информатики: Уч.пос. / Н.М.Чепурнова - М.:КУРС,НИЦ ИНФРА-М,2019-192с.(п)</t>
  </si>
  <si>
    <t>ПРАВОВЫЕ ОСНОВЫ ПРИКЛАДНОЙ  ИНФОРМАТИКИ</t>
  </si>
  <si>
    <t>Чепурнова Н.М., Ефимова Л.Л.</t>
  </si>
  <si>
    <t>КУРС</t>
  </si>
  <si>
    <t>Бакалавриат</t>
  </si>
  <si>
    <t>978-5-906818-01-0</t>
  </si>
  <si>
    <t>40.05.04, 40.03.01, 40.05.01, 40.05.02, 40.05.03, 09.03.03</t>
  </si>
  <si>
    <t>171950.09.01</t>
  </si>
  <si>
    <t>Правовые основы производства по уголовным делам... / О.В.Левченко-М.:НИЦ ИНФРА-М,2018.-124с(О)</t>
  </si>
  <si>
    <t>ПРАВОВЫЕ ОСНОВЫ ПРОИЗВОДСТВА ПО УГОЛОВНЫМ ДЕЛАМ В ОТНОШЕНИИ НЕСОВЕРШЕННОЛЕТНИХ</t>
  </si>
  <si>
    <t>Левченко О.В., Мищенко Е.В.</t>
  </si>
  <si>
    <t>978-5-16-005311-0</t>
  </si>
  <si>
    <t>Оренбургский государственный университет</t>
  </si>
  <si>
    <t>776761.01.01</t>
  </si>
  <si>
    <t>Правовые основы противодействия пенитенциарной...: Уч.пос. / Расторопов С.В.-М.:НИЦ ИНФРА-М,2023.-237 с.(п)</t>
  </si>
  <si>
    <t>ПРАВОВЫЕ ОСНОВЫ ПРОТИВОДЕЙСТВИЯ ПЕНИТЕНЦИАРНОЙ ПРЕСТУПНОСТИ</t>
  </si>
  <si>
    <t>Расторопов С.В., Пикин И.В., Тараканов И.А. и др.</t>
  </si>
  <si>
    <t>978-5-16-017827-1</t>
  </si>
  <si>
    <t>40.02.02, 40.05.01, 40.05.02</t>
  </si>
  <si>
    <t>773668.01.01</t>
  </si>
  <si>
    <t>Правовые основы расторжения брака в Респ. Узбекистан: Моногр./ Э.Х.Эгамбердиев-М.:НИЦ ИНФРА-М,2022-230с(О)</t>
  </si>
  <si>
    <t>ПРАВОВЫЕ ОСНОВЫ РАСТОРЖЕНИЯ БРАКА В РЕСПУБЛИКЕ УЗБЕКИСТАН</t>
  </si>
  <si>
    <t>Эгамбердиев Э.Х.</t>
  </si>
  <si>
    <t>978-5-16-017582-9</t>
  </si>
  <si>
    <t>690280.05.01</t>
  </si>
  <si>
    <t>Правовые основы рос. революц. преобр. 1917 г.: Моногр./Под ред. Пашенцева Д.А.-М.:НИЦ ИНФРА-М,2022-199с.(Науч.мысль)(о)</t>
  </si>
  <si>
    <t>ПРАВОВЫЕ ОСНОВЫ РОССИЙСКИХ РЕВОЛЮЦИОННЫХ ПРЕОБРАЗОВАНИЙ 1917 ГОДА</t>
  </si>
  <si>
    <t>Пашенцев Д.А., Боголюбов С.А., Алексеева Л.Л. и др.</t>
  </si>
  <si>
    <t>978-5-16-014751-2</t>
  </si>
  <si>
    <t>40.03.01, 46.04.01, 40.04.01</t>
  </si>
  <si>
    <t>730121.02.01</t>
  </si>
  <si>
    <t>Правовые основы участия органов публичной власти...: Моногр. / Н.П.Поставная - М.:НИЦ ИНФРА-М,2022 - 159 с.(О)</t>
  </si>
  <si>
    <t>ПРАВОВЫЕ ОСНОВЫ УЧАСТИЯ ОРГАНОВ ПУБЛИЧНОЙ ВЛАСТИ В ГРАДОСТРОИТЕЛЬНОЙ ДЕЯТЕЛЬНОСТИ</t>
  </si>
  <si>
    <t>Поставная Н.П., Боголюбов С.А.</t>
  </si>
  <si>
    <t>978-5-16-016023-8</t>
  </si>
  <si>
    <t>Московский государственный юридический университет им. О.Е. Кутафина, ф-л Оренбургский институт</t>
  </si>
  <si>
    <t>645370.01.01</t>
  </si>
  <si>
    <t>Правовые основы физ.культуры и спорта: Уч.пос. / Т.Э.Зульфугарзаде-М.:НИЦ ИНФРА-М,2017-140с.(ВО)(О)</t>
  </si>
  <si>
    <t>ПРАВОВЫЕ ОСНОВЫ ФИЗИЧЕСКОЙ КУЛЬТУРЫ И СПОРТА</t>
  </si>
  <si>
    <t>Зульфугарзаде Т.Э.</t>
  </si>
  <si>
    <t>978-5-16-012700-2</t>
  </si>
  <si>
    <t>40.03.01, 49.03.01, 49.03.02</t>
  </si>
  <si>
    <t>Рекомендовано в качестве учебного пособия для студентов высших учебных заведений, обучающихся по направлениям подготовки 40.03.01 «Юриспруденция», 49.03.01 «Физическая культура», 49.03.02 «Физическая культура для лиц с отклонениями в состоянии здоровья» (квалификация (степень) «бакалавр»)</t>
  </si>
  <si>
    <t>777880.01.01</t>
  </si>
  <si>
    <t>Правовые пробл. устойчивого пространств. развития гос. - участников СНГ / Е.А.Галиновская -М.:НИЦ ИНФРА-М,2022.-456 с.(П)</t>
  </si>
  <si>
    <t>ПРАВОВЫЕ ПРОБЛЕМЫ УСТОЙЧИВОГО ПРОСТРАНСТВЕННОГО РАЗВИТИЯ ГОСУДАРСТВ - УЧАСТНИКОВ СНГ</t>
  </si>
  <si>
    <t>Галиновская Е.А., Пономарев М.В., Азимзода А.Ш. и др.</t>
  </si>
  <si>
    <t>978-5-16-017681-9</t>
  </si>
  <si>
    <t>05.03.02, 40.04.01, 05.06.01, 40.06.01</t>
  </si>
  <si>
    <t>332600.03.01</t>
  </si>
  <si>
    <t>Правовые проблемы охраны..: Сб.ст. / Отв. ред. Л.А. Новоселова. - М.: Норма:ИНФРА-М, 2017-176с(о)</t>
  </si>
  <si>
    <t>ПРАВОВЫЕ ПРОБЛЕМЫ ОХРАНЫ И ЗАЩИТЫ  СРЕДСТВ ИНДИВИДУАЛИЗАЦИИ</t>
  </si>
  <si>
    <t>978-5-91768-590-8</t>
  </si>
  <si>
    <t>15.04.01, 26.04.01, 23.04.03, 23.04.01, 29.04.02, 29.04.01, 29.04.03, 38.03.01</t>
  </si>
  <si>
    <t>718663.05.01</t>
  </si>
  <si>
    <t>Правовые средства обеспечения финансовой безоп.: Моногр. / И.И.Кучеров-М.:Юр.Норма, НИЦ ИНФРА-М,2022-240с(П)</t>
  </si>
  <si>
    <t>ПРАВОВЫЕ СРЕДСТВА ОБЕСПЕЧЕНИЯ ФИНАНСОВОЙ БЕЗОПАСНОСТИ</t>
  </si>
  <si>
    <t>Кучеров И.И., Поветкина Н.А.</t>
  </si>
  <si>
    <t>978-5-00156-022-7</t>
  </si>
  <si>
    <t>38.04.09, 40.04.01, 38.04.08</t>
  </si>
  <si>
    <t>456400.03.01</t>
  </si>
  <si>
    <t>Правовые средства противодействия коррупции: Науч.-прак. пос. / Н.А.Власенко.-М.:НИЦ ИНФРА-М,2023.-342с(П)</t>
  </si>
  <si>
    <t>ПРАВОВЫЕ СРЕДСТВА ПРОТИВОДЕЙСТВИЯ КОРРУПЦИИ</t>
  </si>
  <si>
    <t>Власенко Н.А., Грачева С.А., Рафалюк Е.Е. и др.</t>
  </si>
  <si>
    <t>978-5-16-014640-9</t>
  </si>
  <si>
    <t>40.02.01, 40.02.02, 40.03.01, 40.04.01, 40.05.01, 40.05.02, 40.05.03, 44.03.05, 40.02.03</t>
  </si>
  <si>
    <t>403800.07.01</t>
  </si>
  <si>
    <t>Правообразование и правообраз. факт.в праве: Моногр./Н.А.Придворов-М.:Юр.Норма,НИЦ ИНФРА-М,2023-400с(О)</t>
  </si>
  <si>
    <t>ПРАВООБРАЗОВАНИЕ И ПРАВООБРАЗУЮЩИЕ ФАКТОРЫ В ПРАВЕ</t>
  </si>
  <si>
    <t>Придворов Н. А., Трофимов В. В.</t>
  </si>
  <si>
    <t>978-5-91768-313-3</t>
  </si>
  <si>
    <t>40.05.04, 40.03.01, 40.04.01, 40.05.01, 40.05.02, 40.05.03, 44.03.05, 41.03.01, 41.03.06</t>
  </si>
  <si>
    <t>Тамбовский государственный университет им. Г.Р. Державина</t>
  </si>
  <si>
    <t>733756.04.01</t>
  </si>
  <si>
    <t>Правоотношение (нравственность совр. правового регулир.): Моногр. / П.П.Серков - М.:Юр.Норма,2022-688 с.(П)</t>
  </si>
  <si>
    <t>ПРАВООТНОШЕНИЕ (НРАВСТВЕННОСТЬ СОВРЕМЕННОГО ПРАВОВОГО РЕГУЛИРОВАНИЯ)</t>
  </si>
  <si>
    <t>Серков П.П.</t>
  </si>
  <si>
    <t>978-5-00156-063-0</t>
  </si>
  <si>
    <t>781313.01.01</t>
  </si>
  <si>
    <t>Правоотношение (теория и прак. совр...): Т. 1 / П.П.Серков-М.:Юр. НОРМА, НИЦ ИНФРА-М,2023.-872 с.(П)</t>
  </si>
  <si>
    <t>ПРАВООТНОШЕНИЕ (ТЕОРИЯ И ПРАКТИКА СОВРЕМЕННОЙ ПРАВОВОЙ ПОЛИТИКИ), Т.1</t>
  </si>
  <si>
    <t>978-5-00156-234-4</t>
  </si>
  <si>
    <t>782710.01.01</t>
  </si>
  <si>
    <t>Правоотношение (теория и прак. совр...): Т. 2 / П.П.Серков-М.:Юр. НОРМА, НИЦ ИНФРА-М,2023.-672 с.(П)</t>
  </si>
  <si>
    <t>ПРАВООТНОШЕНИЕ (ТЕОРИЯ И ПРАКТИКА СОВРЕМЕННОЙ ПРАВОВОЙ ПОЛИТИКИ), Т.2</t>
  </si>
  <si>
    <t>978-5-00156-247-4</t>
  </si>
  <si>
    <t>685031.04.01</t>
  </si>
  <si>
    <t>Правоотношение(теория и практ.соврем.правов.регулир.):Части 2,3/П.П.Серков-М.:Юр.Норма,2022-1088с(П)</t>
  </si>
  <si>
    <t>ПРАВООТНОШЕНИЕ (ТЕОРИЯ И ПРАКТИКА СОВРЕМЕННОГО ПРАВОВОГО РЕГУЛИРОВАНИЯ) ЧАСТИ ВТОРАЯ И ТРЕТЬЯ, Т.2</t>
  </si>
  <si>
    <t>978-5-91768-940-1</t>
  </si>
  <si>
    <t>804565.01.01</t>
  </si>
  <si>
    <t>Правоохранительная деят. военной полиции Вооруженных Сил РФ/ С.А.Минтягов-М.:НИЦ ИНФРА-М,2023.-318 с.(П)</t>
  </si>
  <si>
    <t>ПРАВООХРАНИТЕЛЬНАЯ ДЕЯТЕЛЬНОСТЬ ВОЕННОЙ ПОЛИЦИИ ВООРУЖЕННЫХ СИЛ РОССИЙСКОЙ ФЕДЕРАЦИИ</t>
  </si>
  <si>
    <t>Минтягов С.А.</t>
  </si>
  <si>
    <t>978-5-16-018574-3</t>
  </si>
  <si>
    <t>771447.01.01</t>
  </si>
  <si>
    <t>Правоохранительные и судебные органы: Уч.пос. / Р.Г.Миронов-М.:НИЦ ИНФРА-М,2023.-252 с.(СПО)(п)</t>
  </si>
  <si>
    <t>ПРАВООХРАНИТЕЛЬНЫЕ И СУДЕБНЫЕ ОРГАНЫ</t>
  </si>
  <si>
    <t>978-5-16-017833-2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</si>
  <si>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19.10.2022)</t>
  </si>
  <si>
    <t>672425.09.01</t>
  </si>
  <si>
    <t>Правоохранительные органы РФ: Уч. / Ю.Б.Чупилкин - 2 изд. - М.:Юр.Норма, НИЦ ИНФРА-М,2023 - 432 с.(П)</t>
  </si>
  <si>
    <t>ПРАВООХРАНИТЕЛЬНЫЕ ОРГАНЫ РОССИЙСКОЙ ФЕДЕРАЦИИ, ИЗД.2</t>
  </si>
  <si>
    <t>Чупилкин Ю.Б., Воронцов С.А., Ляхов Ю.А. и др.</t>
  </si>
  <si>
    <t>978-5-00156-246-7</t>
  </si>
  <si>
    <t>778410.02.01</t>
  </si>
  <si>
    <t>Правоохранительные органы РФ: Уч. / Ю.Б.Чупилкин - М.:Юр. НОРМА, НИЦ ИНФРА-М,2022 - 432 с.(П)</t>
  </si>
  <si>
    <t>ПРАВООХРАНИТЕЛЬНЫЕ ОРГАНЫ РОССИЙСКОЙ ФЕДЕРАЦИИ</t>
  </si>
  <si>
    <t>Чупилкин Ю.Б., Ляхов Ю.А., Воронцов С.А. и др.</t>
  </si>
  <si>
    <t>978-5-00156-248-1</t>
  </si>
  <si>
    <t>672425.04.01</t>
  </si>
  <si>
    <t>Правоохранительные органы РФ: Уч. / Ю.Б.Чупилкин - М.:Юр.Норма, НИЦ ИНФРА-М,2020 - 416 с.(П)</t>
  </si>
  <si>
    <t>978-5-91768-882-4</t>
  </si>
  <si>
    <t>636222.02.01</t>
  </si>
  <si>
    <t>Правоохранительные органы РФ: Уч.пос. / А.В.Дмитренко-М.:ИЦ РИОР,НИЦ ИНФРА-М,2017-261с.(ВО)(П)</t>
  </si>
  <si>
    <t>Дмитренко А.В.</t>
  </si>
  <si>
    <t>978-5-369-01594-0</t>
  </si>
  <si>
    <t>40.02.01, 40.02.02, 40.03.01, 40.05.01, 40.05.02, 40.05.03, 40.02.03</t>
  </si>
  <si>
    <t>Рекомендовано в качестве учебного пособия для студентов высших учебных заведений, обучающихся по направлению подготовки «Юриспруденция»</t>
  </si>
  <si>
    <t>Южно-Российский гуманитарный институт</t>
  </si>
  <si>
    <t>796065.01.01</t>
  </si>
  <si>
    <t>Правоохранительные органы: Уч.пос. / Р.Г.Миронов, - 2 изд.-М.:НИЦ ИНФРА-М,2023.-280 с.(ВО: Бакалавр.)(П)</t>
  </si>
  <si>
    <t>ПРАВООХРАНИТЕЛЬНЫЕ ОРГАНЫ, ИЗД.2</t>
  </si>
  <si>
    <t>978-5-16-018120-2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</si>
  <si>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«Юриспруденция»¶(квалификация (степень) «бакалавр») (протокол № 6 от 08.06.2022</t>
  </si>
  <si>
    <t>477750.05.01</t>
  </si>
  <si>
    <t>Правоохранительные органы: Уч.пос. / Р.Г.Миронов-М.:ИД ФОРУМ, НИЦ ИНФРА-М,2019.-256 с..-(СПО)(п)</t>
  </si>
  <si>
    <t>ПРАВООХРАНИТЕЛЬНЫЕ ОРГАНЫ</t>
  </si>
  <si>
    <t>978-5-8199-0762-7</t>
  </si>
  <si>
    <t>Рекомендовано в качестве учебного пособия для студентов средних специальных учебных заведений, обучающихся по направлению и специальности «Юриспруденция»</t>
  </si>
  <si>
    <t>104650.11.01</t>
  </si>
  <si>
    <t>Правоохранительные органы: Уч.пос. /Г.Б.Романовский- 3 изд.-М.:ИЦ РИОР,НИЦ ИНФРА-М,2022-298с.(ВО)(П)</t>
  </si>
  <si>
    <t>ПРАВООХРАНИТЕЛЬНЫЕ ОРГАНЫ, ИЗД.3</t>
  </si>
  <si>
    <t>Романовский Г. Б., Романовская О. В.</t>
  </si>
  <si>
    <t>978-5-369-01632-9</t>
  </si>
  <si>
    <t>Рекомендовано Московской государственной юридической академией в качестве учебного пособия для студентов высших образовательных учреждений, реализующих образовательные программы высшего и дополнительного профессионального образования по дисциплине «П</t>
  </si>
  <si>
    <t>682232.01.01</t>
  </si>
  <si>
    <t>Правоприменительная практика в области бюджета:: Моногр. / Х.В.Пешкова-М.:НИЦ ИНФРА-М,2022.-239 с.(Науч.мысль)(П)</t>
  </si>
  <si>
    <t>ПРАВОПРИМЕНИТЕЛЬНАЯ ПРАКТИКА В ОБЛАСТИ БЮДЖЕТА: ТЕОРЕТИКО-ПРАВОВЫЕ И СУДЕБНО-АРБИТРАЖНЫЕ АСПЕКТЫ</t>
  </si>
  <si>
    <t>Пешкова Х.В., Пачкун В.В.</t>
  </si>
  <si>
    <t>978-5-16-017084-8</t>
  </si>
  <si>
    <t>40.03.01, 40.04.01, 38.04.01, 38.04.08, 38.06.01, 40.06.01, 38.03.01, 38.03.04</t>
  </si>
  <si>
    <t>158000.05.01</t>
  </si>
  <si>
    <t>Правосудие в современном мире: Моногр. / Под ред.Хабриевой Т.Я. - 2 изд. - М.:Юр.Норма,2018-704с(П)</t>
  </si>
  <si>
    <t>ПРАВОСУДИЕ В СОВРЕМЕННОМ МИРЕ, ИЗД.2</t>
  </si>
  <si>
    <t>Хабриева Т.Я., Лебедев В.М.</t>
  </si>
  <si>
    <t>978-5-91768-883-1</t>
  </si>
  <si>
    <t>764227.03.01</t>
  </si>
  <si>
    <t>Правосудие и справедливость: Моногр. / М.И.Клеандров - М.:Юр.Норма, НИЦ ИНФРА-М,2022 - 364 с.(П)</t>
  </si>
  <si>
    <t>ПРАВОСУДИЕ И СПРАВЕДЛИВОСТЬ</t>
  </si>
  <si>
    <t>978-5-00156-194-1</t>
  </si>
  <si>
    <t>764227.04.01</t>
  </si>
  <si>
    <t>Правосудие и справедливость: Моногр. / М.И.Клеандров, - 2-е изд.-М.:Юр. НОРМА, НИЦ ИНФРА-М,2023.-424 с.(п)</t>
  </si>
  <si>
    <t>ПРАВОСУДИЕ И СПРАВЕДЛИВОСТЬ, ИЗД.2</t>
  </si>
  <si>
    <t>978-5-00156-286-3</t>
  </si>
  <si>
    <t>670757.04.01</t>
  </si>
  <si>
    <t>Правосудие: ориентация на Конституцию: Моногр. / Н.С.Бондарь - М.:Юр.Норма,НИЦ ИНФРА-М,2022-224с.(П)</t>
  </si>
  <si>
    <t>ПРАВОСУДИЕ: ОРИЕНТАЦИЯ НА КОНСТИТУЦИЮ</t>
  </si>
  <si>
    <t>Бондарь Н.С., Джагарян А.А.</t>
  </si>
  <si>
    <t>978-5-91768-870-1</t>
  </si>
  <si>
    <t>775902.01.01</t>
  </si>
  <si>
    <t>Правотворчество в XXI в.: эволюц. доктрины и практики / В.В.Лазарев-М.:Юр. НОРМА, НИЦ ИНФРА-М,2022.-344 с.(П)</t>
  </si>
  <si>
    <t>ПРАВОТВОРЧЕСТВО В XXI ВЕКЕ: ЭВОЛЮЦИЯ ДОКТРИНЫ И ПРАКТИКИ (К 90-ЛЕТИЮ СО ДНЯ РОЖДЕНИЯ А.С.ПИГОЛКИНА)</t>
  </si>
  <si>
    <t>978-5-00156-240-5</t>
  </si>
  <si>
    <t>40.05.04, 40.03.01, 40.05.01, 40.05.02, 40.06.01</t>
  </si>
  <si>
    <t>036590.13.01</t>
  </si>
  <si>
    <t>Практикум по международному праву / Г.В.Игнатенко - 4 изд. -М.: Юр.Норма, НИЦ ИНФРА-М, 2024. -352 с.(О)</t>
  </si>
  <si>
    <t>ПРАКТИКУМ ПО МЕЖДУНАРОДНОМУ ПРАВУ, ИЗД.4</t>
  </si>
  <si>
    <t>Игнатенко Г.В., Марочкин С.Ю., Тиунов О.И.</t>
  </si>
  <si>
    <t>978-5-91768-546-5</t>
  </si>
  <si>
    <t>Допущено Министерством образования РФ в качестве учебного пособия для студентов высших учебных заведений, обучающихся по направлению подготовки бакалавров и магистров 521400 "Юриспруденция" и по специальности 022100 "Юриспруденция"</t>
  </si>
  <si>
    <t>0415</t>
  </si>
  <si>
    <t>289300.04.01</t>
  </si>
  <si>
    <t>Практикум по юр. консультированию / Под ред. Г.Н.Чеботарева - Норма:НИЦ ИНФРА-М,2022 - 208 с(Для юр. вузов) (о)</t>
  </si>
  <si>
    <t>ПРАКТИКУМ ПО ЮРИДИЧЕСКОМУ КОНСУЛЬТИРОВАНИЮ</t>
  </si>
  <si>
    <t>Чеботарев Г.Н.</t>
  </si>
  <si>
    <t>978-5-91768-513-7</t>
  </si>
  <si>
    <t>773445.02.01</t>
  </si>
  <si>
    <t>Практическая методика обуч. в условиях цифр...: Уч.мет.пос. / С.В.Лонская-М.:НИЦ ИНФРА-М,2024.-219 с.(п)</t>
  </si>
  <si>
    <t>ПРАКТИЧЕСКАЯ МЕТОДИКА ОБУЧЕНИЯ В УСЛОВИЯХ ЦИФРОВОЙ ТРАНСФОРМАЦИИ: ИСТОРИЯ ПРАВА В ВЫСШЕЙ ШКОЛЕ</t>
  </si>
  <si>
    <t>Лонская С.В.</t>
  </si>
  <si>
    <t>Высшее образование: Аспирантура</t>
  </si>
  <si>
    <t>978-5-16-017525-6</t>
  </si>
  <si>
    <t>Балтийский федеральный университет им. Иммануила Канта</t>
  </si>
  <si>
    <t>714115.03.01</t>
  </si>
  <si>
    <t>Практические навыки адвоката: Практикум / П.Е.Короткова - М.:Юр.Норма, НИЦ ИНФРА-М,2022 - 192 с.(П)</t>
  </si>
  <si>
    <t>ПРАКТИЧЕСКИЕ НАВЫКИ АДВОКАТА</t>
  </si>
  <si>
    <t>Короткова П.Е.</t>
  </si>
  <si>
    <t>978-5-00156-006-7</t>
  </si>
  <si>
    <t>675838.05.01</t>
  </si>
  <si>
    <t>Практические навыки адвоката: Уч.пос. / П.Е.Короткова - М.:Юр.Норма,НИЦ ИНФРА-М,2023 - 144 с.(П)</t>
  </si>
  <si>
    <t>978-5-91768-894-7</t>
  </si>
  <si>
    <t>645223.03.01</t>
  </si>
  <si>
    <t>Практический анализ основных решений Европ.суда: Практ.пос. Оськина И.Ю.-М.:Вуз.уч.,ИНФРА-М,2019-96с</t>
  </si>
  <si>
    <t>ПРАКТИЧЕСКИЙ АНАЛИЗ ОСНОВНЫХ РЕШЕНИЙ ЕВРОПЕЙСКОГО СУДА ПО ПРАВАМ ЧЕЛОВЕКА (С УЧЕТОМ РЕШЕНИЙ ВЫНЕСЕННЫХ ПО РФ)</t>
  </si>
  <si>
    <t>Оськина И.Ю., Лупу А.А.</t>
  </si>
  <si>
    <t>978-5-9558-0529-0</t>
  </si>
  <si>
    <t>807277.01.01</t>
  </si>
  <si>
    <t>Предпринимательское право РФ: В 2 тт. Т.1: Уч. / Губин Е.П.- 4 изд.-М.:Юр. НОРМА, НИЦ ИНФРА-М,2024-808 с.(п)</t>
  </si>
  <si>
    <t>ПРЕДПРИНИМАТЕЛЬСКОЕ ПРАВО РОССИЙСКОЙ ФЕДЕРАЦИИ, Т.1, ИЗД.4</t>
  </si>
  <si>
    <t>Губин Е.П., Лахно П.Г., Вайпан В.А. и др.</t>
  </si>
  <si>
    <t>978-5-00156-314-3</t>
  </si>
  <si>
    <t>40.05.04, 40.03.01, 38.04.01, 40.05.01, 40.05.02</t>
  </si>
  <si>
    <t>807889.01.01</t>
  </si>
  <si>
    <t>Предпринимательское право РФ: В 2 тт. Т.2: Уч. / Губин Е.П.-4 изд.-М.:Юр. НОРМА, НИЦ ИНФРА-М,2024-440 с.(п)</t>
  </si>
  <si>
    <t>ПРЕДПРИНИМАТЕЛЬСКОЕ ПРАВО РОССИЙСКОЙ ФЕДЕРАЦИИ, Т.2, ИЗД.4</t>
  </si>
  <si>
    <t>978-5-00156-318-1</t>
  </si>
  <si>
    <t>706542.04.01</t>
  </si>
  <si>
    <t>Предпринимательское право: Уч. / Под ред. Пчелкина А.В. - М.:НИЦ ИНФРА-М,2023 - 478 с.(ВО: Бакалавр.)(П)</t>
  </si>
  <si>
    <t>ПРЕДПРИНИМАТЕЛЬСКОЕ ПРАВО</t>
  </si>
  <si>
    <t>Демичев А.А., Карпычев М.В., Леонов А.И. и др.</t>
  </si>
  <si>
    <t>978-5-16-016423-6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</si>
  <si>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19.05.2021)</t>
  </si>
  <si>
    <t>328900.04.01</t>
  </si>
  <si>
    <t>Предпринимательское право: Уч. пос. /А.М. Туфетулов - М.: Альфа-М: ИНФРА-М,2024-480с.(Бакалавр.)(П)</t>
  </si>
  <si>
    <t>Туфетулов А. М., Сабирова Л. Л., Салмина С. В.</t>
  </si>
  <si>
    <t>978-5-98281-433-3</t>
  </si>
  <si>
    <t>40.03.01, 38.03.02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</si>
  <si>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t>
  </si>
  <si>
    <t>329400.03.01</t>
  </si>
  <si>
    <t>Предупреждение преступлений, связ. с исп..: Моногр. /А.И.Трусов -М.:ИЦ РИОР,НИЦ ИНФРА-М,2018-190с(О)</t>
  </si>
  <si>
    <t>ПРЕДУПРЕЖДЕНИЕ ПРЕСТУПЛЕНИЙ, СВЯЗАННЫХ С ИСПОЛЬЗОВАНИЕМ БИОТЕХНОЛОГИЙ</t>
  </si>
  <si>
    <t>Трусов А.И.</t>
  </si>
  <si>
    <t>978-5-369-01420-2</t>
  </si>
  <si>
    <t>482150.04.01</t>
  </si>
  <si>
    <t>Президентская власть в США и ее представ.: Моногр. / А.Ю.Саломатин-М.:Юр.Норма,НИЦ ИНФРА-М,2023-240с</t>
  </si>
  <si>
    <t>ПРЕЗИДЕНТСКАЯ ВЛАСТЬ В США И ЕЕ ПРЕДСТАВИТЕЛИ (СРАВНИТЕЛЬНЫЕ ПОЛИТОЛОГИЧЕСКИЕ И КОНСТИТУЦИОННО-ПРАВОВЫЕ ОЧЕРКИ)</t>
  </si>
  <si>
    <t>978-5-91768-565-6</t>
  </si>
  <si>
    <t>41.03.04, 40.03.01, 41.04.04, 40.04.01, 41.04.01, 41.03.01, 41.03.06</t>
  </si>
  <si>
    <t>249200.07.01</t>
  </si>
  <si>
    <t>Презумпции как средства прав. охраны интересов..: Моногр./Б.А.Булаевский-ИНФРА-М:  ИЗиСП, 2020-240с. (о)</t>
  </si>
  <si>
    <t>ПРЕЗУМПЦИИ КАК СРЕДСТВА ПРАВОВОЙ ОХРАНЫ ИНТЕРЕСОВ УЧАСТНИКОВ ГРАЖДАНСКИХ ПРАВООТНОШЕНИЙ</t>
  </si>
  <si>
    <t>Булаевский Б. А.</t>
  </si>
  <si>
    <t>978-5-16-009340-6</t>
  </si>
  <si>
    <t>666707.05.01</t>
  </si>
  <si>
    <t>Прекращение гос.-служебных отнош...: Моногр. / Р.С.Сорокин - М:ИЦ РИОР,НИЦ ИНФРА-М,2021 - 118 с.(О)</t>
  </si>
  <si>
    <t>ПРЕКРАЩЕНИЕ ГОСУДАРСТВЕННО-СЛУЖЕБНЫХ ОТНОШЕНИЙ ВСЛЕДСТВИЕ НЕСОБЛЮДЕНИЯ ЗАКОНОДАТЕЛЬСТВА О ПРОТИВОДЕЙСТВИИ КОРРУПЦИИ</t>
  </si>
  <si>
    <t>Сорокин Р.С.</t>
  </si>
  <si>
    <t>978-5-369-01713-5</t>
  </si>
  <si>
    <t>38.04.04, 38.03.01, 38.03.04, 44.03.05</t>
  </si>
  <si>
    <t>128450.09.01</t>
  </si>
  <si>
    <t>Преступление и борьба с ним. Уголовная психология...: Моногр. / Г.Ашаффенбург.-М.:НИЦ ИНФРА-М,2021.-249 с.(П)</t>
  </si>
  <si>
    <t>ПРЕСТУПЛЕНИЕ И БОРЬБА С НИМ</t>
  </si>
  <si>
    <t>Ашаффенбург Г., Овчинский В. С., Федоров А. В.</t>
  </si>
  <si>
    <t>978-5-16-016775-6</t>
  </si>
  <si>
    <t>285700.08.01</t>
  </si>
  <si>
    <t>Преступление и наказание: кримин.-психол. анализ: Моног. /Ю.М.Антонян -М:Норма,НИЦ ИНФРА-М,2023-304с</t>
  </si>
  <si>
    <t>ПРЕСТУПЛЕНИЕ И НАКАЗАНИЕ: КРИМИНОЛОГО-ПСИХОЛОГИЧЕСКИЙ АНАЛИЗ</t>
  </si>
  <si>
    <t>978-5-91768-498-7</t>
  </si>
  <si>
    <t>40.03.01, 37.04.01, 40.04.01, 40.05.02, 40.06.01, 31.08.24</t>
  </si>
  <si>
    <t>Государственный Университет Просвещения</t>
  </si>
  <si>
    <t>673893.04.01</t>
  </si>
  <si>
    <t>Преступление, обреченное на провал...: Моногр. / В.Н.Некрасов - М.:НИЦ ИНФРА-М,2023 - 172 с.(О)</t>
  </si>
  <si>
    <t>ПРЕСТУПЛЕНИЕ, ОБРЕЧЕННОЕ НА ПРОВАЛ: ОСОБЕННОСТИ ЗАКОНОДАТЕЛЬНОГО КОНСТРУИРОВАНИЯ</t>
  </si>
  <si>
    <t>Некрасов В.Н.</t>
  </si>
  <si>
    <t>978-5-16-013611-0</t>
  </si>
  <si>
    <t>051100.12.01</t>
  </si>
  <si>
    <t>Преступление. Новейшие успехи науки о преступнике. Анархисты / Ч.Ломброзо-М.:НИЦ ИНФРА-М,2023.-314 с.(П)</t>
  </si>
  <si>
    <t>ПРЕСТУПЛЕНИЕ. НОВЕЙШИЕ УСПЕХИ НАУКИ О ПРЕСТУПНИКЕ. АНАРХИСТЫ</t>
  </si>
  <si>
    <t>Ломброзо Ч., Овчинский В.С.</t>
  </si>
  <si>
    <t>978-5-16-001715-0</t>
  </si>
  <si>
    <t>054270.10.01</t>
  </si>
  <si>
    <t>Преступник и преступление. Сравн. преступн. Преступл. толпы / Г. де Тард. - ИНФРА-М, 2024. - 391 с. (п)</t>
  </si>
  <si>
    <t>ПРЕСТУПНИК И ПРЕСТУПЛЕНИЕ. СРАВНИТЕЛЬНАЯ ПРЕСТУПНОСТЬ. ПРЕСТУПЛЕНИЯ ТОЛПЫ</t>
  </si>
  <si>
    <t>Тард Г., Овчинский В. С.</t>
  </si>
  <si>
    <t>5-16-001978-2</t>
  </si>
  <si>
    <t>687050.04.01</t>
  </si>
  <si>
    <t>Преступник. Основные черты и типология: Моногр./ В.Е.Эминов-М.:Юр.Норма, НИЦ ИНФРА-М,2023.-384 с.(П)</t>
  </si>
  <si>
    <t>ПРЕСТУПНИК. ОСНОВНЫЕ ЧЕРТЫ И ТИПОЛОГИЯ</t>
  </si>
  <si>
    <t>Эминов В.Е., Антонян Ю.М.</t>
  </si>
  <si>
    <t>978-5-91768-946-3</t>
  </si>
  <si>
    <t>085650.10.01</t>
  </si>
  <si>
    <t>Преступное насилие. Преступность в городах /Сост. и вступ. ст. А.С.Овчинского.-ИНФРА-М, 2024- 408 с. (п)</t>
  </si>
  <si>
    <t>ПРЕСТУПНОЕ НАСИЛИЕ. ПРЕСТУПНОСТЬ В ГОРОДАХ</t>
  </si>
  <si>
    <t>Овчинский А. С., Овчинский В. С.</t>
  </si>
  <si>
    <t>978-5-16-003139-2</t>
  </si>
  <si>
    <t>792931.01.01</t>
  </si>
  <si>
    <t>Преступное сообщество..: Моногр. / М.П.Клеймёнов -М.:Юр. НОРМА, НИЦ ИНФРА-М,2023.-232 с.(П)</t>
  </si>
  <si>
    <t>ПРЕСТУПНОЕ СООБЩЕСТВО:КРИМИНОЛОГО-ПРАВОВОЙ АНАЛИЗ</t>
  </si>
  <si>
    <t>Клеймёнов М.П., Клейменов И.М., Козловская М.Г.</t>
  </si>
  <si>
    <t>978-5-00156-273-3</t>
  </si>
  <si>
    <t>40.05.04, 00.05.08, 40.02.02, 40.03.01, 40.05.01, 40.05.02, 44.05.01, 40.05.03, 10.05.05</t>
  </si>
  <si>
    <t>409300.10.01</t>
  </si>
  <si>
    <t>Преступность в истории человечества: Моногр. / Ю.М.Антонян - М.:Юр.Норма, НИЦ ИНФРА-М,2022 - 208 с.(О)</t>
  </si>
  <si>
    <t>ПРЕСТУПНОСТЬ В ИСТОРИИ ЧЕЛОВЕЧЕСТВА</t>
  </si>
  <si>
    <t>Антонян Ю.М., Звизжова О.Ю.</t>
  </si>
  <si>
    <t>978-5-91768-320-1</t>
  </si>
  <si>
    <t>642078.07.01</t>
  </si>
  <si>
    <t>Преступность и нравы переходного общ.: Моногр. / В.Н.Кудрявцев-М.:Юр.Норма,НИЦ ИНФРА-М,2023-240с.(П)</t>
  </si>
  <si>
    <t>ПРЕСТУПНОСТЬ И НРАВЫ ПЕРЕХОДНОГО ОБЩЕСТВА</t>
  </si>
  <si>
    <t>978-5-91768-772-8</t>
  </si>
  <si>
    <t>072500.10.01</t>
  </si>
  <si>
    <t>Преступность и преступники. Учение о преступ... / Д.А.Дриль - М.:ИНФРА-М Изд. Дом,2023 - 770 с.(П)</t>
  </si>
  <si>
    <t>ПРЕСТУПНОСТЬ И ПРЕСТУПНИКИ. УЧЕНИЕ О ПРЕСТУПНОСТИ И МЕРАХ БОРЬБЫ С НЕЮ</t>
  </si>
  <si>
    <t>Дриль Д. А., Овчинский В. С.</t>
  </si>
  <si>
    <t>5-16-002683-5</t>
  </si>
  <si>
    <t>680550.10.01</t>
  </si>
  <si>
    <t>Прецедентное право: Монография / И.Ю.Богдановская - М.:Юр.Норма, НИЦ ИНФРА-М,2024 - 240 с.(П)</t>
  </si>
  <si>
    <t>ПРЕЦЕДЕНТНОЕ ПРАВО</t>
  </si>
  <si>
    <t>Богдановская И.Ю.</t>
  </si>
  <si>
    <t>978-5-91768-901-2</t>
  </si>
  <si>
    <t>704209.04.01</t>
  </si>
  <si>
    <t>Преюдиция в уголовном судопроизводстве РФ: Монография / С.А.Лопатин - М.:Юр.Норма,2022.-208 с.(П)</t>
  </si>
  <si>
    <t>ПРЕЮДИЦИЯ В УГОЛОВНОМ СУДОПРОИЗВОДСТВЕ РОССИЙСКОЙ ФЕДЕРАЦИИ</t>
  </si>
  <si>
    <t>Лопатин С.А.</t>
  </si>
  <si>
    <t>978-5-91768-610-3</t>
  </si>
  <si>
    <t>670047.03.01</t>
  </si>
  <si>
    <t>Преюдиция как институциональное  явление: Монография / Р.А.Бурганов - М.:НИЦ ИНФРА-М,2022 - 134 с(О)</t>
  </si>
  <si>
    <t>ПРЕЮДИЦИЯ КАК ИНСТИТУЦИОНАЛЬНОЕ  ЯВЛЕНИЕ</t>
  </si>
  <si>
    <t>Бурганов Р.А., Бурганов Б.Р.</t>
  </si>
  <si>
    <t>978-5-16-013343-0</t>
  </si>
  <si>
    <t>Казанский государственный энергетический университет</t>
  </si>
  <si>
    <t>735530.02.01</t>
  </si>
  <si>
    <t>Прием граждан и рассмотрение обращений в след.органах: Моногр./ Под ред. Цветкова Ю.А.-М.:НИЦ ИНФРА-М,2022-399 с(П)</t>
  </si>
  <si>
    <t>ПРИЕМ ГРАЖДАН И РАССМОТРЕНИЕ ОБРАЩЕНИЙ В СЛЕДСТВЕННЫХ ОРГАНАХ</t>
  </si>
  <si>
    <t>Цветков Ю.А., Валов С.В., Бурынин С.С. и др.</t>
  </si>
  <si>
    <t>978-5-16-016228-7</t>
  </si>
  <si>
    <t>632566.04.01</t>
  </si>
  <si>
    <t>Применение земельного законодат.:Науч.-практ.пос. / Е.А.Галиновская-М.:НИЦ ИНФРА-М,2019-270с.(ИЗиСП)</t>
  </si>
  <si>
    <t>ПРИМЕНЕНИЕ ЗЕМЕЛЬНОГО ЗАКОНОДАТЕЛЬСТВА: ПРОБЛЕМЫ И РЕШЕНИЯ</t>
  </si>
  <si>
    <t>978-5-16-012002-7</t>
  </si>
  <si>
    <t>464100.03.01</t>
  </si>
  <si>
    <t>Применение международ. фин. права в РФ: Моногр. /С.Г.Павликов -М.: НИЦ ИНФРА-М, 2020 -140с. (Науч.мысль)(п)</t>
  </si>
  <si>
    <t>ПРИМЕНЕНИЕ МЕЖДУНАРОДНОГО ФИНАНСОВОГО ПРАВА В РОССИЙСКОЙ ФЕДЕРАЦИИ</t>
  </si>
  <si>
    <t>Павликов С.Г.</t>
  </si>
  <si>
    <t>978-5-16-011529-0</t>
  </si>
  <si>
    <t>458200.01.01</t>
  </si>
  <si>
    <t>Применение насилия. Понятие и квалификация: Науч.-практ.пос. /А.В.Галахова -М.:Юр.Норма,2016-336с(п)</t>
  </si>
  <si>
    <t>ПРИМЕНЕНИЕ НАСИЛИЯ. ПОНЯТИЕ И КВАЛИФИКАЦИЯ</t>
  </si>
  <si>
    <t>ГалаховаА.В.</t>
  </si>
  <si>
    <t>978-5-91768-683-7</t>
  </si>
  <si>
    <t>756610.01.01</t>
  </si>
  <si>
    <t>Принципы бюджетной системы РФ: Моногр. / Под ред. Поветкиной Н.А.-М.:НИЦ ИНФРА-М,2021.-225 с.(О)</t>
  </si>
  <si>
    <t>ПРИНЦИПЫ БЮДЖЕТНОЙ СИСТЕМЫ РОССИЙСКОЙ ФЕДЕРАЦИИ: ТЕОРЕТИКО-ПРАВОВЫЕ ОСНОВЫ РЕАЛИЗАЦИИ</t>
  </si>
  <si>
    <t>Воронцов О.Г.</t>
  </si>
  <si>
    <t>978-5-16-016925-5</t>
  </si>
  <si>
    <t>40.03.01, 40.04.01, 38.04.01, 38.04.08, 38.04.04, 38.06.01, 40.06.01, 38.03.01, 38.03.04</t>
  </si>
  <si>
    <t>764228.03.01</t>
  </si>
  <si>
    <t>Принципы права: Монография / А.В.Коновалов - М.:Юр.Норма,2024 - 792 с.(О)</t>
  </si>
  <si>
    <t>ПРИНЦИПЫ ПРАВА</t>
  </si>
  <si>
    <t>Коновалов А.В.</t>
  </si>
  <si>
    <t>978-5-00156-195-8</t>
  </si>
  <si>
    <t>675394.03.01</t>
  </si>
  <si>
    <t>Принципы уголовн. судопр. в сист. принцип. национ. права.../Т.Ю.Вилкова-М.:Юр.Норма,ИНФРА-М,2023-192с</t>
  </si>
  <si>
    <t>ПРИНЦИПЫ УГОЛОВНОГО СУДОПРОИЗВОДСТВА В СИСТЕМЕ ПРИНЦИПОВ НАЦИОНАЛЬНОГО ПРАВА: ОБЩЕПРАВОВЫЕ И МЕЖОТРАСЛЕВЫЕ АСПЕКТЫ</t>
  </si>
  <si>
    <t>Вилкова Т.Ю.</t>
  </si>
  <si>
    <t>978-5-91768-887-9</t>
  </si>
  <si>
    <t>260100.04.01</t>
  </si>
  <si>
    <t>Природоресурсное законод. в усл. модерн...: Моногр./ Г.В.Выпханова - М.:Юр.Норма,НИЦ ИНФРА-М,2022-160с(О)</t>
  </si>
  <si>
    <t>ПРИРОДОРЕСУРСНОЕ ЗАКОНОДАТЕЛЬСТВО В УСЛОВИЯХ МОДЕРНИЗАЦИИ ЭКОНОМИКИ РОССИИ: СОВРЕМЕННЫЕ ПРОБЛЕМЫ РАЗВИТИЯ</t>
  </si>
  <si>
    <t>Выпханова Г. В., Ершова И. В., Шпаковский Ю. Г., Агафонов В. Б., Жаворонкова Н. Г.</t>
  </si>
  <si>
    <t>978-5-91768-457-4</t>
  </si>
  <si>
    <t>05.03.06, 13.03.01, 13.04.01</t>
  </si>
  <si>
    <t>694246.04.01</t>
  </si>
  <si>
    <t>Причинность в криминологии...: Моногр. / В.Н.Кудрявцев - М.:Юр.Норма,НИЦ ИНФРА-М,2022 - 176 с.(П)</t>
  </si>
  <si>
    <t>ПРИЧИННОСТЬ В КРИМИНОЛОГИИ (О СТРУКТУРЕ ИНДИВИДУАЛЬНОГО ПРЕСТУПНОГО ПОВЕДЕНИЯ)</t>
  </si>
  <si>
    <t>978-5-91768-976-0</t>
  </si>
  <si>
    <t>40.03.01, 40.05.02, 40.05.03</t>
  </si>
  <si>
    <t>352600.06.01</t>
  </si>
  <si>
    <t>Причинность и объект.сторона преступления: Моногр. / З.Б.Соктоев - М.:Юр.Норма,НИЦ ИНФРА-М,2023 - 256 с(О)</t>
  </si>
  <si>
    <t>ПРИЧИННОСТЬ И ОБЪЕКТИВНАЯ СТОРОНА ПРЕСТУПЛЕНИЯ</t>
  </si>
  <si>
    <t>Соктоев З.Б.</t>
  </si>
  <si>
    <t>978-5-91768-606-6</t>
  </si>
  <si>
    <t>642075.07.01</t>
  </si>
  <si>
    <t>Причины правонарушений: Моногр. / В.Н.Кудрявцев - М.:Юр.Норма, НИЦ ИНФРА-М,2023-288с.(П)</t>
  </si>
  <si>
    <t>ПРИЧИНЫ ПРАВОНАРУШЕНИЙ</t>
  </si>
  <si>
    <t>978-5-91768-775-9</t>
  </si>
  <si>
    <t>152070.09.01</t>
  </si>
  <si>
    <t>Причины преступности в России... / В.Е.Эминов - М.:Юр.Норма, ИНФРА-М Изд. Дом,2024 - 128 с.(О)</t>
  </si>
  <si>
    <t>ПРИЧИНЫ ПРЕСТУПНОСТИ В РОССИИ</t>
  </si>
  <si>
    <t>Эминов В. Е.</t>
  </si>
  <si>
    <t>978-5-91768-176-4</t>
  </si>
  <si>
    <t>703671.04.01</t>
  </si>
  <si>
    <t>Пробелы в праве и пути их устранения: Моногр. / В.В.Лазарев-М.:Юр.Норма, НИЦ ИНФРА-М,2023.-184 с.(П)</t>
  </si>
  <si>
    <t>ПРОБЕЛЫ В ПРАВЕ И ПУТИ ИХ УСТРАНЕНИЯ</t>
  </si>
  <si>
    <t>978-5-91768-560-1</t>
  </si>
  <si>
    <t>805483.01.01</t>
  </si>
  <si>
    <t>Проблема аддиктивного поведения в юриспруденции: Моногр. / А.В.Мякушкин-М.:НИЦ ИНФРА-М,2023.-204 с.(о)</t>
  </si>
  <si>
    <t>ПРОБЛЕМА АДДИКТИВНОГО ПОВЕДЕНИЯ В ЮРИСПРУДЕНЦИИ: ТЕОРЕТИКО-ПРАВОВОЕ ИССЛЕДОВАНИЕ</t>
  </si>
  <si>
    <t>Мякушкин А.В.</t>
  </si>
  <si>
    <t>978-5-16-018701-3</t>
  </si>
  <si>
    <t>40.04.01, 37.05.02, 40.05.02, 40.05.03, 37.06.01, 40.06.01</t>
  </si>
  <si>
    <t>376900.04.01</t>
  </si>
  <si>
    <t>Проблема начала в правопонимании: Моногр./Е.З.Бекбаев-М.:НИЦ ИНФРА-М,2023.-94 с.(О)</t>
  </si>
  <si>
    <t>ПРОБЛЕМА НАЧАЛА В ПРАВОПОНИМАНИИ</t>
  </si>
  <si>
    <t>Бекбаев Е.З.</t>
  </si>
  <si>
    <t>978-5-16-011107-0</t>
  </si>
  <si>
    <t>632593.06.01</t>
  </si>
  <si>
    <t>Проблемы вещного права :Монография / Л.В.Щенникова - М.:Юр.Норма, НИЦ ИНФРА-М,2022.-208 с.(П)</t>
  </si>
  <si>
    <t>ПРОБЛЕМЫ ВЕЩНОГО ПРАВА</t>
  </si>
  <si>
    <t>Щенникова Л.В.</t>
  </si>
  <si>
    <t>978-5-00156-014-2</t>
  </si>
  <si>
    <t>775336.01.01</t>
  </si>
  <si>
    <t>Проблемы взаимодействия юр. ответств...: Моногр. / Д.А.Липинский - М.:ИЦ РИОР, НИЦ ИНФРА-М,2022 - 392 с.(П)</t>
  </si>
  <si>
    <t>ПРОБЛЕМЫ ВЗАИМОДЕЙСТВИЯ ЮРИДИЧЕСКОЙ ОТВЕТСТВЕННОСТИ И МЕХАНИЗМА ОБЕСПЕЧЕНИЯ НАЦИОНАЛЬНОЙ БЕЗОПАСНОСТИ</t>
  </si>
  <si>
    <t>Липинский Д.А., Макарейко Н.В., Фомин А.А. и др.</t>
  </si>
  <si>
    <t>978-5-369-01904-7</t>
  </si>
  <si>
    <t>41.04.05, 40.05.01, 41.03.01</t>
  </si>
  <si>
    <t>749702.04.01</t>
  </si>
  <si>
    <t>Проблемы гос. управ. с позиций теории сис: Моногр. / Б.В.Россинский-М.:Юр.Норма, НИЦ ИНФРА-М,2023.-264 с.(П)</t>
  </si>
  <si>
    <t>ПРОБЛЕМЫ ГОСУДАРСТВЕННОГО УПРАВЛЕНИЯ С ПОЗИЦИЙ ТЕОРИИ СИСТЕМ</t>
  </si>
  <si>
    <t>978-5-00156-143-9</t>
  </si>
  <si>
    <t>645479.05.01</t>
  </si>
  <si>
    <t>Проблемы истории, методолог.и теории юрид..:Моногр./А.В.Корнев -М.:Юр.Норма,НИЦ ИНФРА-М,2023-528с(П)</t>
  </si>
  <si>
    <t>ПРОБЛЕМЫ ИСТОРИИ, МЕТОДОЛОГИИ И ТЕОРИИ ЮРИДИЧЕСКОЙ НАУКИ</t>
  </si>
  <si>
    <t>Корнев А.В., Веденеев Ю.А., Завьялов Ю.С. и др.</t>
  </si>
  <si>
    <t>978-5-91768-789-6</t>
  </si>
  <si>
    <t>169600.06.01</t>
  </si>
  <si>
    <t>Проблемы назначения наказания: Уч.пос. / Т.В. Непомнящая - М.: Форум, 2023.- 592 с.(ВО) (п)</t>
  </si>
  <si>
    <t>ПРОБЛЕМЫ НАЗНАЧЕНИЯ НАКАЗАНИЯ</t>
  </si>
  <si>
    <t>Непомнящая Т. В., Степашин В. М.</t>
  </si>
  <si>
    <t>978-5-91134-571-6</t>
  </si>
  <si>
    <t>40.05.04, 40.03.01, 40.04.01, 40.05.02</t>
  </si>
  <si>
    <t>021500.16.01</t>
  </si>
  <si>
    <t>Проблемы общ. теории права и гос-ва: Уч./ Под общ. ред. В.С. Нерсесянца.-Норма:ИНФРА-М,2023.-816с. (п)</t>
  </si>
  <si>
    <t>ПРОБЛЕМЫ ОБЩЕЙ ТЕОРИИ ПРАВА И ГОСУДАРСТВА, ИЗД.2</t>
  </si>
  <si>
    <t>978-5-91768-116-0</t>
  </si>
  <si>
    <t>40.05.04, 40.03.01, 40.04.01, 40.05.01, 40.05.02, 40.05.03, 44.03.05, 41.03.06</t>
  </si>
  <si>
    <t>0210</t>
  </si>
  <si>
    <t>178900.09.01</t>
  </si>
  <si>
    <t>Проблемы общей теории jus: Уч. / В.В. Лазарев - М.: Норма:  НИЦ Инфра-М, 2023-656с. (п)</t>
  </si>
  <si>
    <t>ПРОБЛЕМЫ ОБЩЕЙ ТЕОРИИ JUS</t>
  </si>
  <si>
    <t>Лазарев В. В., Липень С. В., Саидов А. Х., Лазарев В. В.</t>
  </si>
  <si>
    <t>978-5-91768-256-3</t>
  </si>
  <si>
    <t>379100.07.01</t>
  </si>
  <si>
    <t>Проблемы правовой неопределенности: курс лекций / Н.А.Власенко-М.:НИЦ ИНФРА-М,2023.-176 с.(ИЗиСП)(П)</t>
  </si>
  <si>
    <t>ПРОБЛЕМЫ ПРАВОВОЙ НЕОПРЕДЕЛЕННОСТИ</t>
  </si>
  <si>
    <t>978-5-16-011136-0</t>
  </si>
  <si>
    <t>454100.03.01</t>
  </si>
  <si>
    <t>Проблемы развития процессуал. права России: Моногр. /А.В.Белякова -М.:Юр.Норма,НИЦ ИНФРА-М,2020-224с.(о)</t>
  </si>
  <si>
    <t>ПРОБЛЕМЫ РАЗВИТИЯ ПРОЦЕССУАЛЬНОГО ПРАВА РОССИИ</t>
  </si>
  <si>
    <t>Белякова А.В., ВоскобитоваЛ.А., ГабовА.В. и др.</t>
  </si>
  <si>
    <t>978-5-91768-679-0</t>
  </si>
  <si>
    <t>814145.01.01</t>
  </si>
  <si>
    <t>Проблемы реализации принципов гражданского судопроизвод.../В.М.Жуйков-М.:Юр.НОРМА, НИЦ ИНФРА-М,2024-416с(п)</t>
  </si>
  <si>
    <t>ПРОБЛЕМЫ РЕАЛИЗАЦИИ ПРИНЦИПОВ ГРАЖДАНСКОГО СУДОПРОИЗВОДСТВА В ПРАВОПРИМЕНИТЕЛЬНОЙ ДЕЯТЕЛЬНОСТИ</t>
  </si>
  <si>
    <t>Жуйков В.М., Алексеева Н.В., Багыллы С.Т. и др.</t>
  </si>
  <si>
    <t>978-5-00156-333-4</t>
  </si>
  <si>
    <t>40.05.04, 40.03.01, 40.04.01, 40.05.01, 40.05.03</t>
  </si>
  <si>
    <t>666942.05.01</t>
  </si>
  <si>
    <t>Проблемы российской госуд. Опыт сист.исслед.:Моногр./В.А.Черепанов-М.:Юр.Норма,НИЦ ИНФРА-М,2022-336с</t>
  </si>
  <si>
    <t>ПРОБЛЕМЫ РОССИЙСКОЙ ГОСУДАРСТВЕННОСТИ. ОПЫТ СИСТЕМНОГО ИССЛЕДОВАНИЯ</t>
  </si>
  <si>
    <t>978-5-91768-878-7</t>
  </si>
  <si>
    <t>710158.03.01</t>
  </si>
  <si>
    <t>Проблемы теор. и прак. админ. ответств.: Уч.пос./ Б.В.Россинский.-М.:Юр.Норма, НИЦ ИНФРА-М,2023-256с(П)</t>
  </si>
  <si>
    <t>ПРОБЛЕМЫ ТЕОРИИ И ПРАКТИКИ АДМИНИСТРАТИВНОЙ ОТВЕТСТВЕННОСТИ</t>
  </si>
  <si>
    <t>Россинский Б.В., Попов Л.Л., Сладкова А.В. и др.</t>
  </si>
  <si>
    <t>978-5-00156-001-2</t>
  </si>
  <si>
    <t>745620.02.01</t>
  </si>
  <si>
    <t>Проблемы теории государства и права: Уч. / Е.Г.Лукьянова-М.:Юр.Норма, НИЦ ИНФРА-М,2023.-296 с.(П)</t>
  </si>
  <si>
    <t>ПРОБЛЕМЫ ТЕОРИИ ГОСУДАРСТВА И ПРАВА</t>
  </si>
  <si>
    <t>Лукьянова Е.Г.</t>
  </si>
  <si>
    <t>978-5-00156-099-9</t>
  </si>
  <si>
    <t>734796.05.01</t>
  </si>
  <si>
    <t>Проблемы теории государства и права: Уч. / Н.А.Власенко - М.:Юр.Норма, НИЦ ИНФРА-М,2023 - 544 с.(П)</t>
  </si>
  <si>
    <t>978-5-00156-067-8</t>
  </si>
  <si>
    <t>753307.02.01</t>
  </si>
  <si>
    <t>Проблемы участия юр. лиц в гражданском обороте: Уч.пос. / А.В.Качалова-М.:Юр.Норма, НИЦ ИНФРА-М,2023.-224 с.(П)</t>
  </si>
  <si>
    <t>ПРОБЛЕМЫ УЧАСТИЯ ЮРИДИЧЕСКИХ ЛИЦ В ГРАЖДАНСКОМ ОБОРОТЕ</t>
  </si>
  <si>
    <t>Качалова А.В., Сойфер Т.В.</t>
  </si>
  <si>
    <t>978-5-00156-154-5</t>
  </si>
  <si>
    <t>766877.01.01</t>
  </si>
  <si>
    <t>Проверка судебных решений по уголовным делам: Моногр. / А.М.Панокин-М.:Юр.Норма, НИЦ ИНФРА-М,2022.-168 с.(П)</t>
  </si>
  <si>
    <t>ПРОВЕРКА СУДЕБНЫХ РЕШЕНИЙ ПО УГОЛОВНЫМ ДЕЛАМ: ИСТОРИЯ И СОВРЕМЕННОСТЬ</t>
  </si>
  <si>
    <t>Панокин А.М.</t>
  </si>
  <si>
    <t>978-5-00156-202-3</t>
  </si>
  <si>
    <t>807275.01.01</t>
  </si>
  <si>
    <t>Производство по делам об админ. правонаруш. в судах...: Моногр. / С.В.Щепалов-М.:Юр. НОРМА,2023.-220 с.(п)</t>
  </si>
  <si>
    <t>ПРОИЗВОДСТВО ПО ДЕЛАМ ОБ АДМИНИСТРАТИВНЫХ ПРАВОНАРУШЕНИЯХ В СУДАХ ОБЩЕЙ ЮРИСДИКЦИИ</t>
  </si>
  <si>
    <t>Щепалов С.В.</t>
  </si>
  <si>
    <t>978-5-00156-313-6</t>
  </si>
  <si>
    <t>00.05.08</t>
  </si>
  <si>
    <t>647837.07.01</t>
  </si>
  <si>
    <t>Прокурорский надзор в РФ (в схемах): Уч.пос. / Под ред. Лазаревой В.А. - 2 изд. - М.:НИЦ ИНФРА-М,2023-118 с(ВО) (О)</t>
  </si>
  <si>
    <t>ПРОКУРОРСКИЙ НАДЗОР В РОССИЙСКОЙ ФЕДЕРАЦИИ (В СХЕМАХ), ИЗД.2</t>
  </si>
  <si>
    <t>Лобачев Д.А., Лазарева В.А.</t>
  </si>
  <si>
    <t>978-5-16-018465-4</t>
  </si>
  <si>
    <t>042150.21.01</t>
  </si>
  <si>
    <t>Прокурорский надзор: Уч. / Под ред. Сухарева А.Я. - 4 изд. - М.:Юр.Норма, НИЦ ИНФРА-М,2023-480с.(П)</t>
  </si>
  <si>
    <t>ПРОКУРОРСКИЙ НАДЗОР, ИЗД.4</t>
  </si>
  <si>
    <t>Сухарев А.Я., Анкудинов О.Т., Викторов И.С. и др.</t>
  </si>
  <si>
    <t>978-5-91768-213-6</t>
  </si>
  <si>
    <t>40.05.04, 40.03.01, 40.04.01, 40.05.02, 40.05.03</t>
  </si>
  <si>
    <t>0411</t>
  </si>
  <si>
    <t>047960.14.01</t>
  </si>
  <si>
    <t>Прокурорский надзор: Уч.пос. / Н.В.Григорьева- 7 изд.-М.:ИЦ РИОР, НИЦ ИНФРА-М,2023-218с.(ВО)(о)</t>
  </si>
  <si>
    <t>ПРОКУРОРСКИЙ НАДЗОР, ИЗД.7</t>
  </si>
  <si>
    <t>Григорьева Н. В.</t>
  </si>
  <si>
    <t>978-5-369-01900-9</t>
  </si>
  <si>
    <t>047960.11.01</t>
  </si>
  <si>
    <t>Прокурорский надзор: Уч.пос./Н.В.Григорьева-6изд.-М.:ИЦ РИОР,НИЦ ИНФРА-М,2020-215с.(ВО:Бакалавр.)(о)</t>
  </si>
  <si>
    <t>ПРОКУРОРСКИЙ НАДЗОР, ИЗД.6</t>
  </si>
  <si>
    <t>Григорьева Н.В.</t>
  </si>
  <si>
    <t>978-5-369-01518-6</t>
  </si>
  <si>
    <t>0616</t>
  </si>
  <si>
    <t>632563.06.01</t>
  </si>
  <si>
    <t>Противодействие коррупции в федеральных..: Науч.-практ.пос. / А.Ф.Ноздрачев-М.:НИЦ ИНФРА-М,2024-184с(О)</t>
  </si>
  <si>
    <t>ПРОТИВОДЕЙСТВИЕ КОРРУПЦИИ В ФЕДЕРАЛЬНЫХ ОРГАНАХ ИСПОЛНИТЕЛЬНОЙ ВЛАСТИ</t>
  </si>
  <si>
    <t>Едкова Т.А., Кичигин Н.В., Ноздрачев А.Ф. и др.</t>
  </si>
  <si>
    <t>978-5-16-016790-9</t>
  </si>
  <si>
    <t>40.03.01, 40.04.01, 40.05.01, 40.05.02, 38.03.01</t>
  </si>
  <si>
    <t>646485.07.01</t>
  </si>
  <si>
    <t>Противодействие коррупции: новые вызовы: Монография / С.Б.Иванов -М.:НИЦ ИНФРА-М,2021-384с(ИЗиСП)(П)</t>
  </si>
  <si>
    <t>ПРОТИВОДЕЙСТВИЕ КОРРУПЦИИ: НОВЫЕ ВЫЗОВЫ</t>
  </si>
  <si>
    <t>Иванов С.Б., Хабриева Т.Я., Чиханчин Ю.А. и др.</t>
  </si>
  <si>
    <t>978-5-16-012463-6</t>
  </si>
  <si>
    <t>169850.09.01</t>
  </si>
  <si>
    <t>Противодействие легализации (отмыванию)...: Практ.пос. / Н.В.Кобозева - М.:Магистр:ИНФРА-М,2023 - 128 с.(о)</t>
  </si>
  <si>
    <t>ПРОТИВОДЕЙСТВИЕ ЛЕГАЛИЗАЦИИ (ОТМЫВАНИЮ) ДОХОДОВ, ПОЛУЧЕННЫХ ПРЕСТУПНЫМ ПУТЕМ И ФИНАНСИРОВАНИЮ ТЕРРОРИЗМА В АУДИТОРСКОЙ ДЕЯТЕЛЬНОСТИ</t>
  </si>
  <si>
    <t>Кобозева Н. В.</t>
  </si>
  <si>
    <t>978-5-9776-0215-0</t>
  </si>
  <si>
    <t>769538.04.01</t>
  </si>
  <si>
    <t>Противодействие нацизму:  Моногр. / Ю.С.Жариков-М.:НИЦ ИНФРА-М,2024.-187 с.(Науч.мысль)(П)</t>
  </si>
  <si>
    <t>ПРОТИВОДЕЙСТВИЕ НАЦИЗМУ: УГОЛОВНО-ПРАВОВОЙ И КРИМИНОЛОГИЧЕСКИЙ АСПЕКТЫ</t>
  </si>
  <si>
    <t>Жариков Ю.С., Цветков Р.Н.</t>
  </si>
  <si>
    <t>978-5-16-017550-8</t>
  </si>
  <si>
    <t>784562.02.01</t>
  </si>
  <si>
    <t>Противодействие незакон. археолог. деят. в РФ... / А.Н.Панфилов-М.:НИЦ ИНФРА-М,2024.-210 с.(о)</t>
  </si>
  <si>
    <t>ПРОТИВОДЕЙСТВИЕ НЕЗАКОННОЙ АРХЕОЛОГИЧЕСКОЙ ДЕЯТЕЛЬНОСТИ В РОССИЙСКОЙ ФЕДЕРАЦИИ: ВОПРОСЫ ПРАВОВОГО РЕГУЛИРОВАНИЯ И ПРАВОПРИМЕНЕНИЯ.</t>
  </si>
  <si>
    <t>978-5-16-017881-3</t>
  </si>
  <si>
    <t>40.05.04, 40.04.01, 40.05.02, 40.05.03, 40.06.01</t>
  </si>
  <si>
    <t>780076.02.01</t>
  </si>
  <si>
    <t>Противодействие преступл., совершаемым в сфере информац...: Уч. / А.В.Андреев.-М.:НИЦ ИНФРА-М,2023.-642 с.(П)</t>
  </si>
  <si>
    <t>ПРОТИВОДЕЙСТВИЕ ПРЕСТУПЛЕНИЯМ, СОВЕРШАЕМЫМ В СФЕРЕ ИНФОРМАЦИОННЫХ ТЕХНОЛОГИЙ</t>
  </si>
  <si>
    <t>Андреев А.В., Гончар В.В., Горач Н.Н. и др.</t>
  </si>
  <si>
    <t>978-5-16-017838-7</t>
  </si>
  <si>
    <t>40.05.04, 40.03.01, 40.04.01, 40.05.01, 40.05.02, 40.05.03, 10.05.05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</si>
  <si>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40.05.03 «Судебная экспертиза» (квалификация «судебный эксперт»), 10.05.01 «Компьютерная безопасность», 10.05.05 «Безопасность информационных технологий в правоохранительной сфере» (квалификация «специалист по защите информации») (протокол № 6 от 08.06.2022)</t>
  </si>
  <si>
    <t>776864.04.01</t>
  </si>
  <si>
    <t>Противодействие преступлениям, совер. в сфере...: Уч.пос. / Е.А.Русскевич.-М.:НИЦ ИНФРА-М,2023.-211 с.(П)</t>
  </si>
  <si>
    <t>ПРОТИВОДЕЙСТВИЕ ПРЕСТУПЛЕНИЯМ, СОВЕРШАЕМЫМ В СФЕРЕ ОБОРОТА КРИПТОВАЛЮТЫ</t>
  </si>
  <si>
    <t>Русскевич Е.А., Андреев А.В., Галиев Д.В. и др.</t>
  </si>
  <si>
    <t>978-5-16-017725-0</t>
  </si>
  <si>
    <t>40.04.01, 40.05.02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</si>
  <si>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3 от 09.03.2022)</t>
  </si>
  <si>
    <t>750716.05.01</t>
  </si>
  <si>
    <t>Противодействие экстремист. деят.: Уч.пос. / Отв.ред.А.М.Будаев-М.:Юр.Норма, НИЦ ИНФРА-М,2024.-128 с.(П)</t>
  </si>
  <si>
    <t>ПРОТИВОДЕЙСТВИЕ ЭКСТРЕМИСТСКОЙ ДЕЯТЕЛЬНОСТИ</t>
  </si>
  <si>
    <t>Будаев А.М.</t>
  </si>
  <si>
    <t>978-5-00156-146-0</t>
  </si>
  <si>
    <t>091650.12.01</t>
  </si>
  <si>
    <t>Профессиональная речь юриста: Уч.пос. / Н.Н.Ивакина-М.:Юр.Норма, НИЦ ИНФРА-М,2023.-448 с.(П)</t>
  </si>
  <si>
    <t>ПРОФЕССИОНАЛЬНАЯ РЕЧЬ ЮРИСТА</t>
  </si>
  <si>
    <t>978-5-91768-374-4</t>
  </si>
  <si>
    <t>648389.09.01</t>
  </si>
  <si>
    <t>Профессиональные навыки юриста.: Уч.пос./Под ред. Рубинштейна Е.А.-М.:Юр.Норма,НИЦ ИНФРА-М,2023-112с.(О)</t>
  </si>
  <si>
    <t>ПРОФЕССИОНАЛЬНЫЕ НАВЫКИ ЮРИСТА В УГОЛОВНОМ СУДОПРОИЗВОДСТВЕ</t>
  </si>
  <si>
    <t>Максимова Т.Ю., Рубинштейн Е.А.</t>
  </si>
  <si>
    <t>978-5-91768-798-8</t>
  </si>
  <si>
    <t>798335.02.01</t>
  </si>
  <si>
    <t>Профилактика правонаруш. несовершеннолет.: Уч.пос. / А.А.Беженцев - М.:Вуз.уч.,НИЦ ИНФРА-М,2024-272с(п)</t>
  </si>
  <si>
    <t>ПРОФИЛАКТИКА ПРАВОНАРУШЕНИЙ НЕСОВЕРШЕННОЛЕТНИХ</t>
  </si>
  <si>
    <t>Беженцев А. А.</t>
  </si>
  <si>
    <t>978-5-9558-0656-3</t>
  </si>
  <si>
    <t>40.05.04, 40.02.01, 40.02.02, 40.03.01, 40.04.01, 39.04.02, 40.05.01, 40.05.02, 40.05.03, 44.03.05, 39.03.02, 40.02.03</t>
  </si>
  <si>
    <t>479750.11.01</t>
  </si>
  <si>
    <t>978-5-9558-0485-9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</si>
  <si>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17 от 11.11.2019)</t>
  </si>
  <si>
    <t>646175.04.01</t>
  </si>
  <si>
    <t>Психология: Уч. пос. / Т.В.Мальцева-М.:ИЦ РИОР, НИЦ ИНФРА-М,2024.-275 с..-(ВО)(п)</t>
  </si>
  <si>
    <t>ПСИХОЛОГИЯ</t>
  </si>
  <si>
    <t>Мальцева Т.В.</t>
  </si>
  <si>
    <t>978-5-369-01639-8</t>
  </si>
  <si>
    <t>704207.03.01</t>
  </si>
  <si>
    <t>Публичная собственность: опыт конст.-прав. осмысления: Моногр./ М.В.Бородач - М.:Юр.Норма,2022 - 576 с(П)</t>
  </si>
  <si>
    <t>ПУБЛИЧНАЯ СОБСТВЕННОСТЬ: ОПЫТ КОНСТИТУЦИОННО-ПРАВОВОГО ОСМЫСЛЕНИЯ</t>
  </si>
  <si>
    <t>Бородач М.В.</t>
  </si>
  <si>
    <t>978-5-91768-608-0</t>
  </si>
  <si>
    <t>486250.03.01</t>
  </si>
  <si>
    <t>Публичное право России: дискус. вопр. теор..:Моногр./ В.В.Еремян-М.:Юр.Норма, НИЦ ИНФРА-М,2017-688с.</t>
  </si>
  <si>
    <t>ПУБЛИЧНОЕ ПРАВО РОССИИ: ДИСКУССИОННЫЕ ВОПРОСЫ ТЕОРИИ И ИСТОРИИ</t>
  </si>
  <si>
    <t>Еремян В.В., Клишас А.А.</t>
  </si>
  <si>
    <t>Фонд современной истории</t>
  </si>
  <si>
    <t>978-5-91768-580-9</t>
  </si>
  <si>
    <t>768264.01.01</t>
  </si>
  <si>
    <t>Публично-правовое значение актов гражданского сост...: Моногр. / И.А.Трофимец - М.:НИЦ ИНФРА-М,2022 - 160с(О)</t>
  </si>
  <si>
    <t>ПУБЛИЧНО-ПРАВОВОЕ ЗНАЧЕНИЕ АКТОВ ГРАЖДАНСКОГО СОСТОЯНИЯ (НА ПРИМЕРЕ ЗАКОНОДАТЕЛЬСТВА РОССИИ И ИСПАНИИ)</t>
  </si>
  <si>
    <t>Трофимец И.А.</t>
  </si>
  <si>
    <t>978-5-16-017357-3</t>
  </si>
  <si>
    <t>141750.07.01</t>
  </si>
  <si>
    <t>Публично-правовое образование / В.Е. Чиркин. - М.: Норма:  НИЦ ИНФРА-М, 2023. - 336 с. (п)</t>
  </si>
  <si>
    <t>ПУБЛИЧНО-ПРАВОВОЕ ОБРАЗОВАНИЕ</t>
  </si>
  <si>
    <t>978-5-91768-140-5</t>
  </si>
  <si>
    <t>664198.02.01</t>
  </si>
  <si>
    <t>Публичные доходы в РФ: фин.-прав.аспект: Моногр. / Н.В.Васильева-М.:Юр.Норма, НИЦ ИНФРА-М,2019-304с.</t>
  </si>
  <si>
    <t>ПУБЛИЧНЫЕ ДОХОДЫ В РФ: ФИНАНСОВО-ПРАВОВОЙ АСПЕКТ</t>
  </si>
  <si>
    <t>Васильева Н.В., Грачева Е.Ю.</t>
  </si>
  <si>
    <t>978-5-91768-851-0</t>
  </si>
  <si>
    <t>40.04.01, 38.04.01, 38.04.08, 38.04.02, 38.04.04</t>
  </si>
  <si>
    <t>699390.02.01</t>
  </si>
  <si>
    <t>Публичный контроль во Франции: Моногр. / А.Н.Пилипенко - М.:НИЦ ИНФРА-М,2023 - 256 с.-(ИЗиСП)(П)</t>
  </si>
  <si>
    <t>ПУБЛИЧНЫЙ КОНТРОЛЬ ВО ФРАНЦИИ</t>
  </si>
  <si>
    <t>Пилипенко А.Н.</t>
  </si>
  <si>
    <t>978-5-16-014700-0</t>
  </si>
  <si>
    <t>670758.05.01</t>
  </si>
  <si>
    <t>Развитие демократических принципов и институтов... / В.И.Васильев-М.:Юр.Норма, НИЦ ИНФРА-М,2021-288с(П)</t>
  </si>
  <si>
    <t>РАЗВИТИЕ ДЕМОКРАТИЧЕСКИХ ПРИНЦИПОВ И ИНСТИТУТОВ НА МУНИЦИПАЛЬНОМ УРОВНЕ: ПРАВОВЫЕ АСПЕКТЫ</t>
  </si>
  <si>
    <t>Васильев В.И., Постников А.Е., Помазанский А.Е.</t>
  </si>
  <si>
    <t>978-5-91768-868-8</t>
  </si>
  <si>
    <t>40.03.01, 40.04.01, 38.04.01, 38.04.04, 40.06.01, 38.03.04</t>
  </si>
  <si>
    <t>Северо-Восточный федеральный университет им. М.К.Аммосова, Чукотский ф-л</t>
  </si>
  <si>
    <t>796038.02.01</t>
  </si>
  <si>
    <t>Развитие российского законодательства в 1930-е г.: Моногр. / Л.Л.Алексеева-М.:НИЦ ИНФРА-М,2023-338с.(п)</t>
  </si>
  <si>
    <t>РАЗВИТИЕ РОССИЙСКОГО ЗАКОНОДАТЕЛЬСТВА В 1930-Е ГОДЫ</t>
  </si>
  <si>
    <t>Алексеева Л.Л., Боголюбов С.А., Васильева Л.Н. и др.</t>
  </si>
  <si>
    <t>978-5-16-018239-1</t>
  </si>
  <si>
    <t>Высшая школа народных искусств (институт)</t>
  </si>
  <si>
    <t>419500.05.01</t>
  </si>
  <si>
    <t>Развитие саморегулируемых орг-ций в РФ: Уч. пос./А.Г.Чернявский - М: Альфа-М: НИЦ Инфра-М, 2024-224с (п)</t>
  </si>
  <si>
    <t>РАЗВИТИЕ САМОРЕГУЛИРУЕМЫХ ОРГАНИЗАЦИЙ В РОССИЙСКОЙ ФЕДЕРАЦИИ</t>
  </si>
  <si>
    <t>Чернявский А. Г.</t>
  </si>
  <si>
    <t>978-5-98281-316-9</t>
  </si>
  <si>
    <t>743882.02.01</t>
  </si>
  <si>
    <t>Развитие экологич. права на евразийском пространстве: Моногр. / С.А.Боголюбов-М.:НИЦ ИНФРА-М,2021.-432 с.(ИЗиСП)(П)</t>
  </si>
  <si>
    <t>РАЗВИТИЕ ЭКОЛОГИЧЕСКОГО ПРАВА НА ЕВРАЗИЙСКОМ ПРОСТРАНСТВЕ</t>
  </si>
  <si>
    <t>Боголюбов С.А.</t>
  </si>
  <si>
    <t>978-5-16-016477-9</t>
  </si>
  <si>
    <t>40.02.02, 40.04.01, 40.06.01</t>
  </si>
  <si>
    <t>756467.02.01</t>
  </si>
  <si>
    <t>Разграничение предметов ведения и..: Уч.пос. / А.М.Осавелюк.-М.:Юр.Норма, НИЦ ИНФРА-М,2023.-184 с.(П)</t>
  </si>
  <si>
    <t>РАЗГРАНИЧЕНИЕ ПРЕДМЕТОВ ВЕДЕНИЯ И ПОЛНОМОЧИЙ В СИСТЕМЕ ПУБЛИЧНОЙ ВЛАСТИ</t>
  </si>
  <si>
    <t>Осавелюк А.М., Забелина Е.П., Невинский В.В. и др.</t>
  </si>
  <si>
    <t>978-5-00156-172-9</t>
  </si>
  <si>
    <t>733549.02.01</t>
  </si>
  <si>
    <t>Разрешение споров в международном и европ. праве: Уч.пос. / Ю.В.Самович-М.:ИЦ РИОР, НИЦ ИНФРА-М,2022-148 с.(ВО)(О)</t>
  </si>
  <si>
    <t>РАЗРЕШЕНИЕ СПОРОВ В МЕЖДУНАРОДНОМ И ЕВРОПЕЙСКОМ ПРАВЕ</t>
  </si>
  <si>
    <t>978-5-369-01842-2</t>
  </si>
  <si>
    <t>477950.07.01</t>
  </si>
  <si>
    <t>Разумность и определен. в прав.регулиров.:Моногр./ Н.А.Власенко-М:НИЦ ИНФРА-М,ИЗиСП,2019-157с(ИЗиСП)</t>
  </si>
  <si>
    <t>РАЗУМНОСТЬ И ОПРЕДЕЛЕННОСТЬ В ПРАВОВОМ РЕГУЛИРОВАНИИ</t>
  </si>
  <si>
    <t>978-5-16-010271-9</t>
  </si>
  <si>
    <t>798673.01.01</t>
  </si>
  <si>
    <t>Расследование налоговых преступлений: Уч.пос. / Е.Г.Быкова - 3 изд.-М.:НИЦ ИНФРА-М,2023.-322 с.(ВО)(п)</t>
  </si>
  <si>
    <t>РАССЛЕДОВАНИЕ НАЛОГОВЫХ ПРЕСТУПЛЕНИЙ, ИЗД.3</t>
  </si>
  <si>
    <t>Быкова Е.Г., Вахмянина Н.Б., Вдовцев П.В. и др.</t>
  </si>
  <si>
    <t>978-5-16-018252-0</t>
  </si>
  <si>
    <t>40.05.04, 40.03.01, 40.05.01, 40.05.02, 44.03.05</t>
  </si>
  <si>
    <t>765066.01.01</t>
  </si>
  <si>
    <t>Рассмотрение споров, вытекающих из.... Практ.: Уч.пос. / Е.А.Позднякова-М.:НИЦ ИНФРА-М,2023.-210 с(п)</t>
  </si>
  <si>
    <t>РАССМОТРЕНИЕ СПОРОВ, ВЫТЕКАЮЩИХ ИЗ ЗЕМЕЛЬНЫХ ПРАВООТНОШЕНИЙ. ПРАКТИКУМ</t>
  </si>
  <si>
    <t>Позднякова Е.А., Тарнавский О.А.</t>
  </si>
  <si>
    <t>978-5-16-017718-2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</si>
  <si>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8 от 19.10.2022)</t>
  </si>
  <si>
    <t>757839.03.01</t>
  </si>
  <si>
    <t>Реализация Закона об ответственном обращении с животными.../ В.Р.Авхадеев - М.:НИЦ ИНФРА-М,2023 - 176 с.(О)</t>
  </si>
  <si>
    <t>РЕАЛИЗАЦИЯ ЗАКОНА ОБ ОТВЕТСТВЕННОМ ОБРАЩЕНИИ С ЖИВОТНЫМИ: ОТ КАЧЕСТВА НОРМ К ЭФФЕКТИВНОМУ ПРАВОПРИМЕНЕНИЮ</t>
  </si>
  <si>
    <t>Авхадеев В.Р., Биткова Л.А., Боголюбов C.А. и др.</t>
  </si>
  <si>
    <t>978-5-16-016948-4</t>
  </si>
  <si>
    <t>762030.01.01</t>
  </si>
  <si>
    <t>Реализация конституц. прав и свобод чел. и гражданина: Уч.пос. / С.В.Нарутто-М.:Юр.Норма, НИЦ ИНФРА-М,2022.-360 с.(П)</t>
  </si>
  <si>
    <t>РЕАЛИЗАЦИЯ КОНСТИТУЦИОННЫХ ПРАВ И СВОБОД ЧЕЛОВЕКА И ГРАЖДАНИНА</t>
  </si>
  <si>
    <t>Нарутто С.В., Колмаков С.Ю.</t>
  </si>
  <si>
    <t>978-5-00156-189-7</t>
  </si>
  <si>
    <t>40.05.04, 40.03.01, 44.03.05, 00.03.08</t>
  </si>
  <si>
    <t>797599.02.01</t>
  </si>
  <si>
    <t>Реализация образоват. процесса в вузах: Уч.пос. / С.Е.Прокофьев.-М.:НИЦ ИНФРА-М,2023.-267 с.(П)</t>
  </si>
  <si>
    <t>РЕАЛИЗАЦИЯ ОБРАЗОВАТЕЛЬНОГО ПРОЦЕССА В ВУЗАХ: ПРАКТИКА РАЗРЕШЕНИЯ СУДЕБНЫХ СПОРОВ. КОММЕНТАРИЙ</t>
  </si>
  <si>
    <t>Прокофьев С.Е., Ручкина Г.Ф., Горохова С.С. и др.</t>
  </si>
  <si>
    <t>978-5-16-018217-9</t>
  </si>
  <si>
    <t>40.03.01, 40.04.01, 40.06.01, 44.03.01, 44.03.05</t>
  </si>
  <si>
    <t>795916.01.01</t>
  </si>
  <si>
    <t>Реализация полномочий орг. дознания сис. МВД Рос... / И.А.Фадеев-М.:НИЦ ИНФРА-М,2023.-238 с.(о)</t>
  </si>
  <si>
    <t>РЕАЛИЗАЦИЯ ПОЛНОМОЧИЙ ОРГАНОВ ДОЗНАНИЯ СИСТЕМЫ МВД РОССИИ В УГОЛОВНОМ ПРОЦЕССЕ</t>
  </si>
  <si>
    <t>Фадеев И.А.</t>
  </si>
  <si>
    <t>978-5-16-018119-6</t>
  </si>
  <si>
    <t>40.05.04, 10.05.04, 40.05.01, 40.05.03, 38.05.01, 38.05.02, 40.06.01</t>
  </si>
  <si>
    <t>463600.05.01</t>
  </si>
  <si>
    <t>Реализация эколог. политики посредством права: Моногр./ С.А.Боголюбов-М.:НИЦ ИНФРА-М,2020.-320 с.(ИЗиСП)(П)</t>
  </si>
  <si>
    <t>РЕАЛИЗАЦИЯ ЭКОЛОГИЧЕСКОЙ ПОЛИТИКИ ПОСРЕДСТВОМ ПРАВА</t>
  </si>
  <si>
    <t>978-5-16-011523-8</t>
  </si>
  <si>
    <t>666944.02.01</t>
  </si>
  <si>
    <t>Регистрационное производство: Уч.пос. / М.Ю.Шамрин-М.:Юр.Норма, НИЦ ИНФРА-М,2020.-240 с.(П)</t>
  </si>
  <si>
    <t>РЕГИСТРАЦИОННОЕ ПРОИЗВОДСТВО</t>
  </si>
  <si>
    <t>Шамрин М.Ю.</t>
  </si>
  <si>
    <t>978-5-91768-864-0</t>
  </si>
  <si>
    <t>40.05.04, 40.03.01, 40.04.01, 40.05.01, 40.05.02, 40.05.03, 38.05.01, 38.05.02</t>
  </si>
  <si>
    <t>365000.03.01</t>
  </si>
  <si>
    <t>Регулирование внешней трудовой миграции...: Моногр. / Е.А.Малышев - М.:НИЦ ИНФРА-М,2019.-182 с.(П)</t>
  </si>
  <si>
    <t>РЕГУЛИРОВАНИЕ ВНЕШНЕЙ ТРУДОВОЙ МИГРАЦИИ АДМИНИСТРАТИВНО-ПРИНУДИТЕЛЬНЫМИ МЕРАМИ</t>
  </si>
  <si>
    <t>Малышев Е.А.</t>
  </si>
  <si>
    <t>978-5-16-011879-6</t>
  </si>
  <si>
    <t>726019.01.01</t>
  </si>
  <si>
    <t>Результативность и эффект. уголовно-исп. системы: Моногр. / В.И.Терёхин - М.:НИЦ ИНФРА-М,2021 - 217 с.(О)</t>
  </si>
  <si>
    <t>РЕЗУЛЬТАТИВНОСТЬ И ЭФФЕКТИВНОСТЬ УГОЛОВНО-ИСПОЛНИТЕЛЬНОЙ СИСТЕМЫ: ОЦЕНИВАНИЕ И ПЛАНИРОВАНИЕ</t>
  </si>
  <si>
    <t>Терёхин В.И., Чернышов В.В.</t>
  </si>
  <si>
    <t>978-5-16-016055-9</t>
  </si>
  <si>
    <t>56.05.01, 56.04.08, 40.03.01, 40.04.01, 40.06.01</t>
  </si>
  <si>
    <t>466650.06.01</t>
  </si>
  <si>
    <t>Религиозные преступл.в Моисеевом угол.праве...: Моногр. / В.Г.Беспалько-М.:НИЦ ИНФРА-М,2020-231c.(о)</t>
  </si>
  <si>
    <t>РЕЛИГИОЗНЫЕ ПРЕСТУПЛЕНИЯ В МОИСЕЕВОМ УГОЛОВНОМ ПРАВЕ И ИХ ПРОЕКЦИИ В РОССИЙСКОМ ЗАКОНОДАТЕЛЬСТВЕ X-XXI ВВ</t>
  </si>
  <si>
    <t>Беспалько В. Г.</t>
  </si>
  <si>
    <t>978-5-16-009780-0</t>
  </si>
  <si>
    <t>Российская таможенная академия</t>
  </si>
  <si>
    <t>357200.03.01</t>
  </si>
  <si>
    <t>Ренессанс гос. упр. в Рос. Избр.: Сб. науч.трудов /Л.Л.Попов -М.:Юр.Норма,НИЦ ИНФРА-М,2019-368с.(П)</t>
  </si>
  <si>
    <t>РЕНЕССАНС ГОСУДАРСТВЕННОГО УПРАВЛЕНИЯ В РОССИИ. ИЗБРАННОЕ</t>
  </si>
  <si>
    <t>978-5-91768-616-5</t>
  </si>
  <si>
    <t>38.04.04, 38.03.04, 44.03.05</t>
  </si>
  <si>
    <t>482550.07.01</t>
  </si>
  <si>
    <t>Реорганизация и ликвидация юридических лиц. Науч.-практ.комм./ А.В.Габов-М.:НИЦ ИНФРА-М,2023.-203 с.(ИЗиСП)(о)</t>
  </si>
  <si>
    <t>РЕОРГАНИЗАЦИЯ И ЛИКВИДАЦИЯ ЮРИДИЧЕСКИХ ЛИЦ</t>
  </si>
  <si>
    <t>Габов А. В.</t>
  </si>
  <si>
    <t>978-5-16-010466-9</t>
  </si>
  <si>
    <t>40.02.01, 46.03.02, 40.03.01, 40.04.01, 38.03.04, 44.03.05, 40.02.03</t>
  </si>
  <si>
    <t>767425.03.01</t>
  </si>
  <si>
    <t>Реформа орг. публич. власти: основные напр...: Моногр./Л.В.Андриченко.-М.:Юр.Норма, НИЦ ИНФРА-М,2023.-200 с.(П)</t>
  </si>
  <si>
    <t>РЕФОРМА ОРГАНИЗАЦИИ ПУБЛИЧНОЙ ВЛАСТИ: ОСНОВНЫЕ НАПРАВЛЕНИЯ РЕАЛИЗАЦИИ</t>
  </si>
  <si>
    <t>Андриченко Л.В., Постников А.Е., Васильева Л. и др.</t>
  </si>
  <si>
    <t>978-5-00156-209-2</t>
  </si>
  <si>
    <t>124800.07.01</t>
  </si>
  <si>
    <t>Решения в уголовном судопроизвод. теория... / П.А.Лупинская - 3изд. - М.:Юр.Норма, НИЦ ИНФРА-М,2023-240с(П)</t>
  </si>
  <si>
    <t>РЕШЕНИЯ В УГОЛОВНОМ СУДОПРОИЗВОДСТВЕ, ИЗД.3</t>
  </si>
  <si>
    <t>Лупинская П. А.</t>
  </si>
  <si>
    <t>978-5-91768-581-6</t>
  </si>
  <si>
    <t>40.04.01, 40.05.01, 40.05.02, 40.05.03, 40.06.01</t>
  </si>
  <si>
    <t>062450.08.01</t>
  </si>
  <si>
    <t>Римское право: Шпаргалка - М.:ИЦ РИОР, НИЦ ИНФРА-М-64 с.-(Шпаргалка [отрывная])(О)</t>
  </si>
  <si>
    <t>РИМСКОЕ ПРАВО</t>
  </si>
  <si>
    <t>978-5-369-00564-4</t>
  </si>
  <si>
    <t>108400.10.01</t>
  </si>
  <si>
    <t>Римское частное право: Практ. курс / Д.В.Дождев - М.: НОРМА, 2022.-576 с.-(Практикум)(П)</t>
  </si>
  <si>
    <t>РИМСКОЕ ЧАСТНОЕ ПРАВО</t>
  </si>
  <si>
    <t>Дождев Д. В.</t>
  </si>
  <si>
    <t>978-5-468-00251-3</t>
  </si>
  <si>
    <t>002023.22.01</t>
  </si>
  <si>
    <t>Римское частное право: Уч. / Д.В.Дождев - 3 изд. - М.:НОРМА, НИЦ ИНФРА-М,2023 -784 с.(П)</t>
  </si>
  <si>
    <t>РИМСКОЕ ЧАСТНОЕ ПРАВО, ИЗД.3</t>
  </si>
  <si>
    <t>Дождев Д. В., Нерсесянц В. С.</t>
  </si>
  <si>
    <t>978-5-91768-506-9</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</si>
  <si>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</si>
  <si>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0308</t>
  </si>
  <si>
    <t>696634.02.01</t>
  </si>
  <si>
    <t>Риски финансовой безопасности / И.И.Кучеров и др. - М.:Юр.Норма,НИЦ ИНФРА-М,2020 - 304 с.(П)</t>
  </si>
  <si>
    <t>РИСКИ ФИНАНСОВОЙ БЕЗОПАСНОСТИ</t>
  </si>
  <si>
    <t>978-5-91768-980-7</t>
  </si>
  <si>
    <t>40.04.01, 38.04.01, 38.04.08, 38.04.02, 38.04.04, 40.05.01, 38.05.01, 38.06.01, 40.06.01, 38.07.02</t>
  </si>
  <si>
    <t>473600.04.01</t>
  </si>
  <si>
    <t>Роль и значение идеол. для гос. и права: Моногр./ А.Г.Чернявский, -2 изд.,-М.:НИЦ ИНФРА-М,2023-302 с.(Науч.мысль)(П)</t>
  </si>
  <si>
    <t>РОЛЬ И ЗНАЧЕНИЕ ИДЕОЛОГИИ ДЛЯ ГОСУДАРСТВА И ПРАВА, ИЗД.2</t>
  </si>
  <si>
    <t>978-5-16-015491-6</t>
  </si>
  <si>
    <t>46.03.02, 40.03.01, 46.04.02, 38.04.04, 38.03.04, 44.03.05, 41.03.01</t>
  </si>
  <si>
    <t>473600.02.01</t>
  </si>
  <si>
    <t>Роль и значение идеол.для гос.и права:Моногр./А.Г.Чернявский-М.:НИЦ ИНФРА-М,2018-287с(Науч.мысль)(п)</t>
  </si>
  <si>
    <t>РОЛЬ И ЗНАЧЕНИЕ ИДЕОЛОГИИ ДЛЯ ГОСУДАРСТВА И ПРАВА</t>
  </si>
  <si>
    <t>978-5-16-011615-0</t>
  </si>
  <si>
    <t>126800.08.01</t>
  </si>
  <si>
    <t>Российская правовая система...: Моногр. / В.Н.Синюков - 2изд.-М.:Юр.Норма,НИЦ ИНФРА-М,2021-672с.(п)</t>
  </si>
  <si>
    <t>РОССИЙСКАЯ ПРАВОВАЯ СИСТЕМА. ВВЕДЕНИЕ В ОБЩУЮ ТЕОРИЮ, ИЗД.2</t>
  </si>
  <si>
    <t>Синюков В. Н.</t>
  </si>
  <si>
    <t>978-5-91768-079-8</t>
  </si>
  <si>
    <t>252000.10.01</t>
  </si>
  <si>
    <t>Российские судьи: соц. исслед. профессии: Моногр./ В.В.Волков - М.:Юр.Норма, НИЦ ИНФРА-М,2023-272с(О)</t>
  </si>
  <si>
    <t>РОССИЙСКИЕ СУДЬИ: СОЦИОЛОГИЧЕСКОЕ ИССЛЕДОВАНИЕ ПРОФЕССИИ</t>
  </si>
  <si>
    <t>Волков В.В., Дмитриева А., Титаев К.Д.</t>
  </si>
  <si>
    <t>978-5-91768-721-6</t>
  </si>
  <si>
    <t>40.03.01, 40.04.01, 40.05.02, 39.03.01</t>
  </si>
  <si>
    <t>673958.04.01</t>
  </si>
  <si>
    <t>Российский опыт взаимодействия усилий гос...: Моногр. / Н.К.Мартыненко — М. : ИНФРА-М, 2019.-320с(П)</t>
  </si>
  <si>
    <t>РОССИЙСКИЙ ОПЫТ ВЗАИМОДЕЙСТВИЯ УСИЛИЙ ГОСУДАРСТВА И ОБЩЕСТВА В УПРЕЖДЕНИИ СОЦИАЛЬНЫХ ДЕВИАЦИЙ (КОНЕЦ XIX - НАЧАЛО XX ВЕКА)</t>
  </si>
  <si>
    <t>Мартыненко Н.К.</t>
  </si>
  <si>
    <t>Научная мысль (Тюм. индустр. ун-т)</t>
  </si>
  <si>
    <t>978-5-16-013755-1</t>
  </si>
  <si>
    <t>Тюменский индустриальный университет, ф-л Ноябрьский институт нефти и газа</t>
  </si>
  <si>
    <t>638290.07.01</t>
  </si>
  <si>
    <t>Российский следователь: призвание, проф...: Моногр. / К.Д.Титаев-М.:Юр. НОРМА, НИЦ ИНФРА-М,2023.-192 с.(о)</t>
  </si>
  <si>
    <t>РОССИЙСКИЙ СЛЕДОВАТЕЛЬ: ПРИЗВАНИЕ, ПРОФЕССИЯ, ПОВСЕДНЕВНОСТЬ</t>
  </si>
  <si>
    <t>Титаев К.Д., Шклярук М.С.</t>
  </si>
  <si>
    <t>978-5-91768-847-3</t>
  </si>
  <si>
    <t>449650.10.01</t>
  </si>
  <si>
    <t>Российский терроризм: проблемы угол. отв.: Моногр. / В.В.Ткаченко - М:НИЦ ИНФРА-М,2023-109 (Науч.мысль)(О)</t>
  </si>
  <si>
    <t>РОССИЙСКИЙ ТЕРРОРИЗМ: ПРОБЛЕМЫ УГОЛОВНОЙ ОТВЕТСТВЕННОСТИ</t>
  </si>
  <si>
    <t>ТкаченкоВ.В., ТкаченкоС.В.</t>
  </si>
  <si>
    <t>978-5-16-009118-1</t>
  </si>
  <si>
    <t>Правительство Ярославской области</t>
  </si>
  <si>
    <t>317400.06.01</t>
  </si>
  <si>
    <t>Россия в Евразийском эконом.союзе и Всем..:Моногр./А.А.Каширкина-НИЦ ИНФРА-М,ИЗиСП,2019-295(ИЗиСП)</t>
  </si>
  <si>
    <t>РОССИЯ, ЕВРАЗИЙСКИЙ ЭКОНОМИЧЕСКИЙ СОЮЗ И ВСЕМИРНАЯ ТОРГОВАЯ ОРГАНИЗАЦИЯ</t>
  </si>
  <si>
    <t>Каширкина А.А., Морозов А.Н.</t>
  </si>
  <si>
    <t>978-5-16-010392-1</t>
  </si>
  <si>
    <t>742034.01.01</t>
  </si>
  <si>
    <t>Россия и Европейский Союз: совр. прав. аспекты взаимоотношений: Моногр.-М.:Юр.Норма,НИЦ ИНФРА-М,2021-144 с.(П)</t>
  </si>
  <si>
    <t>РОССИЯ И ЕВРОПЕЙСКИЙ СОЮЗ: СОВРЕМЕННЫЕ ПРАВОВЫЕ АСПЕКТЫ ВЗАИМООТНОШЕНИЙ</t>
  </si>
  <si>
    <t>Калиниченко П.А.</t>
  </si>
  <si>
    <t>978-5-00156-096-8</t>
  </si>
  <si>
    <t>814120.01.01</t>
  </si>
  <si>
    <t>Руководство по следственной тактике: Моногр. / Е.Е.Центров-М.:Юр. НОРМА, НИЦ ИНФРА-М,2024.-576 с.(п)</t>
  </si>
  <si>
    <t>РУКОВОДСТВО ПО СЛЕДСТВЕННОЙ ТАКТИКЕ</t>
  </si>
  <si>
    <t>Центров Е.Е.</t>
  </si>
  <si>
    <t>978-5-00156-331-0</t>
  </si>
  <si>
    <t>40.05.04, 40.02.02, 40.03.01, 40.04.01, 38.04.01, 10.05.04, 40.05.01, 40.05.02, 40.05.03, 38.05.01</t>
  </si>
  <si>
    <t>233200.13.01</t>
  </si>
  <si>
    <t>Руководство по суд. медицине: Практ.пос. / Под ред. Буромского И.В. - М.:Юр.Норма,НИЦ ИНФРА-М,2023-656с(П)</t>
  </si>
  <si>
    <t>РУКОВОДСТВО ПО СУДЕБНОЙ МЕДИЦИНЕ</t>
  </si>
  <si>
    <t>Крюков В.Н., Буромский И.В., Ардашкин А.П. и др.</t>
  </si>
  <si>
    <t>978-5-91768-420-8</t>
  </si>
  <si>
    <t>40.05.04, 40.02.01, 40.02.02, 40.03.01, 40.04.01, 40.05.01, 40.05.02, 40.05.03, 31.05.01, 40.02.03</t>
  </si>
  <si>
    <t>Рекомендовано Учебно-методической комиссией по судебной медицине Учебно-методического объединения по медицинскому и фармацевтическому образованию вузов России в качестве учебного пособия по специальности 14.03.05 «Судебно-медицинская экспертиза»</t>
  </si>
  <si>
    <t>Российский национальный исследовательский медицинский университет им. Н.И. Пирогова</t>
  </si>
  <si>
    <t>420850.03.01</t>
  </si>
  <si>
    <t>Русское финансовое право / Э.Н.Берендтс и др.-М.:ИЦ РИОР, НИЦ ИНФРА-М,2018.-397 с..-(Науч.мысль)(О)</t>
  </si>
  <si>
    <t>РУССКОЕ ФИНАНСОВОЕ ПРАВО</t>
  </si>
  <si>
    <t>Берендтс Э. Н., Куракин Р. С., Семенова Е. В., Зиноватный П. С., Зиноватная И. В.</t>
  </si>
  <si>
    <t>978-5-369-01176-8</t>
  </si>
  <si>
    <t>012656.07.01</t>
  </si>
  <si>
    <t>Самое святое, что есть у Бога на земле.: Моногр. / С.С.Алексеев, - 2 изд.-М.:Юр.Норма, НИЦ ИНФРА-М,2024.-448 с.(П)</t>
  </si>
  <si>
    <t>САМОЕ СВЯТОЕ, ЧТО ЕСТЬ У БОГА НА ЗЕМЛЕ. ИММАНУИЛ КАНТ И ПРОБЛЕМЫ ПРАВА В СОВРЕМЕННУЮ ЭПОХУ, ИЗД.2</t>
  </si>
  <si>
    <t>Алексеев С. С.</t>
  </si>
  <si>
    <t>978-5-91768-358-4</t>
  </si>
  <si>
    <t>40.05.04, 40.03.01, 40.04.01, 40.05.01, 40.05.02, 40.05.03, 40.06.01, 00.03.40</t>
  </si>
  <si>
    <t>475700.06.01</t>
  </si>
  <si>
    <t>Свобода слова: Монография / В.Н.Кудрявцев - М.:Юр.Норма, НИЦ ИНФРА-М,2022-204с.(П)</t>
  </si>
  <si>
    <t>СВОБОДА СЛОВА</t>
  </si>
  <si>
    <t>978-5-91768-708-7</t>
  </si>
  <si>
    <t>654662.03.01</t>
  </si>
  <si>
    <t>Семейное право и концепция развит.семейного законодат.: Сб./ А.Е.Тарасова-М.:НИЦ ИНФРА,2019-484с(П)</t>
  </si>
  <si>
    <t>СЕМЕЙНОЕ ПРАВО И КОНЦЕПЦИЯ РАЗВИТИЯ СЕМЕЙНОГО ЗАКОНОДАТЕЛЬСТВА: МЕЖДУНАРОДНЫЕ СТАНДАРТЫ И РОССИЙСКАЯ МОДЕЛЬ</t>
  </si>
  <si>
    <t>Тарасова А.Е.</t>
  </si>
  <si>
    <t>978-5-16-013542-7</t>
  </si>
  <si>
    <t>40.02.01, 40.02.02, 40.03.01, 40.04.01, 40.05.02, 44.03.05</t>
  </si>
  <si>
    <t>127900.10.01</t>
  </si>
  <si>
    <t>Семейное право: Уч. / Под ред. Демичева А.А. - 2 изд. - М.:ИД ФОРУМ, НИЦ ИНФРА-М,2019 - 301 с.(П)</t>
  </si>
  <si>
    <t>СЕМЕЙНОЕ ПРАВО, ИЗД.2</t>
  </si>
  <si>
    <t>Демичев А.А., Голованова О.В., Карпычев М.В. и др.</t>
  </si>
  <si>
    <t>978-5-8199-0761-0</t>
  </si>
  <si>
    <t>Рекомендовано в качестве учебника для студентов высших и средних специальных учебных заведений, обучающихся по специальностям «Юриспруденция» и «Правоохранительная деятельность»</t>
  </si>
  <si>
    <t>683109.05.01</t>
  </si>
  <si>
    <t>Семейное право: Уч. / Под ред. Демичева А.А. - 2 изд.-М.:ИД Форум, НИЦ ИНФРА-М,2023-301 с.-(СПО)(П)</t>
  </si>
  <si>
    <t>978-5-8199-0803-7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</si>
  <si>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</si>
  <si>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683109.06.01</t>
  </si>
  <si>
    <t>Семейное право: Уч. / Под ред. Демичева А.А. - 3 изд.-М.:ИД Форум, НИЦ ИНФРА-М,2024-291 с.-(СПО)(п)</t>
  </si>
  <si>
    <t>СЕМЕЙНОЕ ПРАВО, ИЗД.3</t>
  </si>
  <si>
    <t>978-5-16-019393-9</t>
  </si>
  <si>
    <t>127900.13.01</t>
  </si>
  <si>
    <t>Семейное право: Уч. / Под ред. Демичева А.А., - 3 изд.-М.:НИЦ ИНФРА-М,2024.-291 с..-(ВО)(п)</t>
  </si>
  <si>
    <t>Демичев А.А., Грачева О.С., Демичев К.А. и др.</t>
  </si>
  <si>
    <t>978-5-16-018794-5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</si>
  <si>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40.00.00 «Юриспруденция» (квалификация (степень) «бакалавр») (протокол № 8 от 22.06.2020)</t>
  </si>
  <si>
    <t>741389.04.01</t>
  </si>
  <si>
    <t>Семейное право: Уч. / Под ред. Тагаевой С.Н. - М.:НИЦ ИНФРА-М,2023 - 501 с.-(ВО: Бакалавриат)(П)</t>
  </si>
  <si>
    <t>СЕМЕЙНОЕ ПРАВО</t>
  </si>
  <si>
    <t>Аблятипова Н.А., Аминова Ф.М., Бодурова Г.Г. и др.</t>
  </si>
  <si>
    <t>978-5-16-016629-2</t>
  </si>
  <si>
    <t>710097.03.01</t>
  </si>
  <si>
    <t>Семейное право: Уч./ С.А.Муратова - 6 изд. - М.:Юр.Норма,НИЦ ИНФРА-М,2023 - 368 с.(П)</t>
  </si>
  <si>
    <t>СЕМЕЙНОЕ ПРАВО, ИЗД.6</t>
  </si>
  <si>
    <t>Муратова С.А.</t>
  </si>
  <si>
    <t>978-5-00156-000-5</t>
  </si>
  <si>
    <t>0619</t>
  </si>
  <si>
    <t>071860.05.01</t>
  </si>
  <si>
    <t>Семейное право: Шпаргалка - 3 изд. - М.:ИЦ РИОР, -93 с.-(Шпаргалка [отрывная])(О)</t>
  </si>
  <si>
    <t>978-5-369-01628-2</t>
  </si>
  <si>
    <t>40.02.01, 40.02.02, 40.03.01, 40.04.01, 44.03.05</t>
  </si>
  <si>
    <t>792933.01.01</t>
  </si>
  <si>
    <t>Семейные отнош. с участием иностранцев...: Моногр. / Н.И.Марышева-М.:Юр. НОРМА, НИЦ ИНФРА-М,2023.-328 с.(П)</t>
  </si>
  <si>
    <t>СЕМЕЙНЫЕ ОТНОШЕНИЯ С УЧАСТИЕМ ИНОСТРАНЦЕВ: ПРАВОВОЕ РЕГУЛИРОВАНИЕ В РОССИИ</t>
  </si>
  <si>
    <t>Марышева Н.И.</t>
  </si>
  <si>
    <t>978-5-00156-274-0</t>
  </si>
  <si>
    <t>40.05.04, 40.03.01, 40.05.02</t>
  </si>
  <si>
    <t>651699.10.01</t>
  </si>
  <si>
    <t>Сильное гос. как опред. фактор общ. прогресса: Моногр. / А.Д.Керимов - М:Норма,НИЦ ИНФРА-М,2024 - 96 с(О)</t>
  </si>
  <si>
    <t>СИЛЬНОЕ ГОСУДАРСТВО КАК ОПРЕДЕЛЯЮЩИЙ ФАКТОР ОБЩЕСТВЕННОГО ПРОГРЕССА</t>
  </si>
  <si>
    <t>Керимов А.Д., Куксин И.Н.</t>
  </si>
  <si>
    <t>978-5-91768-816-9</t>
  </si>
  <si>
    <t>772066.02.01</t>
  </si>
  <si>
    <t>Символы в праве, правовой науке и юридич. образ.: Моногр. / И.В.Мальцев-М.:НОРМА,2023.-256 с.(П)</t>
  </si>
  <si>
    <t>СИМВОЛЫ В ПРАВЕ, ПРАВОВОЙ НАУКЕ И ЮРИДИЧЕСКОМ ОБРАЗОВАНИИ</t>
  </si>
  <si>
    <t>Мальцев И.В.</t>
  </si>
  <si>
    <t>978-5-00156-221-4</t>
  </si>
  <si>
    <t>718665.05.01</t>
  </si>
  <si>
    <t>Синергетика и герменевтика в правовед. и соц.-правовом.../ Малинова И.П.-М.:Юр.Норма, НИЦ ИНФРА-М,2022-216с.(П)</t>
  </si>
  <si>
    <t>СИНЕРГЕТИКА И ГЕРМЕНЕВТИКА В ПРАВОВЕДЕНИИ И СОЦИАЛЬНО-ПРАВОВОМ РЕГУЛИРОВАНИИ</t>
  </si>
  <si>
    <t>Малинова И.П., Абушенко Д.Б., Безбородов Ю.С. и др.</t>
  </si>
  <si>
    <t>978-5-00156-023-4</t>
  </si>
  <si>
    <t>245400.07.01</t>
  </si>
  <si>
    <t>Система адм.права (методология, наука, регл.): Моногр. / Д.В.Осинцев - НИЦ ИНФРА-М,2022 - 228с.(Науч.мысль)(О)</t>
  </si>
  <si>
    <t>СИСТЕМА АДМИНИСТРАТИВНОГО ПРАВА (МЕТОДОЛОГИЯ, НАУКА, РЕГЛАМЕНТАЦИЯ)</t>
  </si>
  <si>
    <t>Осинцев Д. В.</t>
  </si>
  <si>
    <t>978-5-16-009289-8</t>
  </si>
  <si>
    <t>090600.07.01</t>
  </si>
  <si>
    <t>Система государств. и муниц. упр.: Уч. / В.Е.Чиркин, - 5 изд.,-М.:Юр.Норма,НИЦ ИНФРА-М,2017-432с.(П)</t>
  </si>
  <si>
    <t>СИСТЕМА ГОСУДАРСТВЕННОГО И МУНИЦИПАЛЬНОГО УПРАВЛЕНИЯ, ИЗД.5</t>
  </si>
  <si>
    <t>978-5-91768-365-2</t>
  </si>
  <si>
    <t>Допущено Советом Учебно-методического объединения вузов России по образованию в области менеджмента в качестве учебника по специальности "Государственное и муниципальное управление"</t>
  </si>
  <si>
    <t>237500.04.01</t>
  </si>
  <si>
    <t>Система договоров в гражд.праве Рос.: Моногр./Ю.В.Романец-2изд.-М.:Юр.Норма,НИЦ ИНФРА-М,2019-496с.</t>
  </si>
  <si>
    <t>СИСТЕМА ДОГОВОРОВ В ГРАЖДАНСКОМ ПРАВЕ РОССИИ, ИЗД.2</t>
  </si>
  <si>
    <t>Романец Ю.В., Яковлев В.Ф.</t>
  </si>
  <si>
    <t>978-5-91768-434-5</t>
  </si>
  <si>
    <t>418500.07.01</t>
  </si>
  <si>
    <t>Система способов защиты вещных прав: Моногр./С.А.Краснова - М.: НИЦ Инфра-М, 2023-148 с.(О)</t>
  </si>
  <si>
    <t>СИСТЕМА СПОСОБОВ ЗАЩИТЫ ВЕЩНЫХ ПРАВ</t>
  </si>
  <si>
    <t>Краснова С.А.</t>
  </si>
  <si>
    <t>978-5-16-006264-8</t>
  </si>
  <si>
    <t>700863.02.01</t>
  </si>
  <si>
    <t>Система средств индивидуализации физ. лиц как...: Моногр. / С.В.Лукашевич-М.:НИЦ ИНФРА-М,2023.-197с(О)</t>
  </si>
  <si>
    <t>СИСТЕМА СРЕДСТВ ИНДИВИДУАЛИЗАЦИИ ФИЗИЧЕСКИХ ЛИЦ КАК СУБЪЕКТОВ ГРАЖДАНСКОГО ПРАВА</t>
  </si>
  <si>
    <t>Лукашевич С.В.</t>
  </si>
  <si>
    <t>978-5-16-014865-6</t>
  </si>
  <si>
    <t>Ульяновский государственный педагогический университет им. И.Н. Ульянова</t>
  </si>
  <si>
    <t>334900.03.01</t>
  </si>
  <si>
    <t>Системы в праве и правовые процессы: Моногр. / М.Ю.Осипов -2 изд.-М.:ИЦ РИОР,НИЦ ИНФРА-М,2019-276(О)</t>
  </si>
  <si>
    <t>СИСТЕМЫ В ПРАВЕ И ПРАВОВЫЕ ПРОЦЕССЫ, ИЗД.2</t>
  </si>
  <si>
    <t>Осипов М.Ю.</t>
  </si>
  <si>
    <t>978-5-369-01804-0</t>
  </si>
  <si>
    <t>334900.07.01</t>
  </si>
  <si>
    <t>Системы в праве и правовые процессы: Моногр. / М.Ю.Осипов-3 изд.-М.:ИЦ РИОР, НИЦ ИНФРА-М,2024-348 с.(Науч.мысль)(о)</t>
  </si>
  <si>
    <t>СИСТЕМЫ В ПРАВЕ И ПРАВОВЫЕ ПРОЦЕССЫ, ИЗД.3</t>
  </si>
  <si>
    <t>978-5-369-01820-0</t>
  </si>
  <si>
    <t>334900.02.01</t>
  </si>
  <si>
    <t>Системы в праве и правовые процессы:Моногр./М.Ю.Осипов-М.:ИЦ РИОР, НИЦ ИНФРА-М,2017-282с(Науч.мысль)</t>
  </si>
  <si>
    <t>СИСТЕМЫ В ПРАВЕ И ПРАВОВЫЕ ПРОЦЕССЫ</t>
  </si>
  <si>
    <t>978-5-369-01419-6</t>
  </si>
  <si>
    <t>357500.09.01</t>
  </si>
  <si>
    <t>Следственные действия - основа раскрытия...:Практ. пос./В.Е.Эминов-М.:Юр.Норма,НИЦ ИНФРА-М,2023-208с</t>
  </si>
  <si>
    <t>СЛЕДСТВЕННЫЕ ДЕЙСТВИЯ - ОСНОВА РАСКРЫТИЯ ПРЕСТУПЛЕНИЙ: ПСИХОЛОГО-КРИМИНАЛИСТИЧЕСКИЙ АНАЛИЗ</t>
  </si>
  <si>
    <t>Эминов В.Е., Ищенко Е.П.</t>
  </si>
  <si>
    <t>978-5-91768-619-6</t>
  </si>
  <si>
    <t>40.02.02, 40.03.01, 40.04.01, 40.05.01, 40.05.02, 40.05.03, 40.06.01</t>
  </si>
  <si>
    <t>675396.07.01</t>
  </si>
  <si>
    <t>Следственные действия: Моногр. / С.Б.Россинский - М.:Юр.Норма, НИЦ ИНФРА-М,2023 - 240 с.(П)</t>
  </si>
  <si>
    <t>СЛЕДСТВЕННЫЕ ДЕЙСТВИЯ</t>
  </si>
  <si>
    <t>978-5-91768-889-3</t>
  </si>
  <si>
    <t>705356.03.01</t>
  </si>
  <si>
    <t>Следственные действия: Уч.пос. для бакалавр. / В.Ю.Стельмах - М.:Юр.Норма, НИЦ ИНФРА-М,2023-208с.(П)</t>
  </si>
  <si>
    <t>Стельмах В.Ю.</t>
  </si>
  <si>
    <t>978-5-91768-629-5</t>
  </si>
  <si>
    <t>Уральский юридический институт Министерства внутренних дел Российской Федерации</t>
  </si>
  <si>
    <t>696632.03.01</t>
  </si>
  <si>
    <t>Словарь правовой аналитической графики: Уч.пос. / В.Б.Исаков - М.:Юр.Норма,НИЦ ИНФРА-М,2024-272с.(П)</t>
  </si>
  <si>
    <t>СЛОВАРЬ ПРАВОВОЙ АНАЛИТИЧЕСКОЙ ГРАФИКИ</t>
  </si>
  <si>
    <t>978-5-91768-978-4</t>
  </si>
  <si>
    <t>489700.04.01</t>
  </si>
  <si>
    <t>Служебное право: Уч. / А.Г.Чернявский - 2 изд. - М.:НИЦ ИНФРА-М,2021 - 418 с.(ВО: Бакалавриат)(П)</t>
  </si>
  <si>
    <t>СЛУЖЕБНОЕ ПРАВО, ИЗД.2</t>
  </si>
  <si>
    <t>978-5-16-015936-2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</si>
  <si>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18 от 25.11.2019)</t>
  </si>
  <si>
    <t>489700.02.01</t>
  </si>
  <si>
    <t>Служебное право: Уч. / А.Г.Чернявский - М.:НИЦ ИНФРА-М,2018-376с.(ВО:Бакалавр.)(п)</t>
  </si>
  <si>
    <t>СЛУЖЕБНОЕ ПРАВО</t>
  </si>
  <si>
    <t>978-5-16-011930-4</t>
  </si>
  <si>
    <t>746317.05.01</t>
  </si>
  <si>
    <t>Смена технологич. укладов и правовое разв. Рос.: Моногр./Д.А.Пашенцев-М.:Юр.Норма, НИЦ ИНФРА-М,2022-184с(П)</t>
  </si>
  <si>
    <t>СМЕНА ТЕХНОЛОГИЧЕСКИХ УКЛАДОВ И ПРАВОВОЕ РАЗВИТИЕ РОССИИ</t>
  </si>
  <si>
    <t>Пашенцев Д.А., Залоило М.В., Дорская А.А.</t>
  </si>
  <si>
    <t>978-5-00156-107-1</t>
  </si>
  <si>
    <t>323900.08.01</t>
  </si>
  <si>
    <t>Собирание доказательств по уголовному делу: проблемы...: Моногр. / С.А.Шейфер - М:Норма:ИНФРА-М,2023-112с(П)</t>
  </si>
  <si>
    <t>СОБИРАНИЕ ДОКАЗАТЕЛЬСТВ ПО УГОЛОВНОМУ ДЕЛУ: ПРОБЛЕМЫ ЗАКОНОДАТЕЛЬСТВА, ТЕОРИИ И ПРАКТИКИ</t>
  </si>
  <si>
    <t>Шейфер С.А.</t>
  </si>
  <si>
    <t>978-5-91768-571-7</t>
  </si>
  <si>
    <t>40.03.01, 40.05.01, 40.05.02, 40.06.01, 44.03.05</t>
  </si>
  <si>
    <t>421500.07.01</t>
  </si>
  <si>
    <t>Собственность и право собств.: цивилистич...: Моногр. /Ю.Н.Андреев -М.:Юр.Норма, НИЦ ИНФРА-М,2023.-320 с.(П)</t>
  </si>
  <si>
    <t>СОБСТВЕННОСТЬ И ПРАВО СОБСТВЕННОСТИ: ЦИВИЛИСТИЧЕСКИЕ АСПЕКТЫ</t>
  </si>
  <si>
    <t>978-5-91768-329-4</t>
  </si>
  <si>
    <t>732748.04.01</t>
  </si>
  <si>
    <t>Современная концепция применения...: Моногр. / А.Я.Капустин - М.:Юр.Норма, НИЦ ИНФРА-М,2023-224с.(П)</t>
  </si>
  <si>
    <t>СОВРЕМЕННАЯ КОНЦЕПЦИЯ ПРИМЕНЕНИЯ МЕЖДУНАРОДНЫХ ДОГОВОРОВ</t>
  </si>
  <si>
    <t>Капустин А.Я., Шульга С.В., Шулятьев И.А. и др.</t>
  </si>
  <si>
    <t>978-5-00156-057-9</t>
  </si>
  <si>
    <t>774793.03.01</t>
  </si>
  <si>
    <t>Современная концепция социального государства: Моногр. / А.А.Клишас-М.:Юр. НОРМА,2023.-288 с.(П)</t>
  </si>
  <si>
    <t>СОВРЕМЕННАЯ КОНЦЕПЦИЯ СОЦИАЛЬНОГО ГОСУДАРСТВА</t>
  </si>
  <si>
    <t>Клишас А.А.,</t>
  </si>
  <si>
    <t>978-5-00156-229-0</t>
  </si>
  <si>
    <t>767422.02.01</t>
  </si>
  <si>
    <t>Современная концепция толкования.../Под ред. Капустина А.Я.-М.:Юр. НОРМА, НИЦ ИНФРА-М,2023.-432 с.(П)</t>
  </si>
  <si>
    <t>СОВРЕМЕННАЯ КОНЦЕПЦИЯ ТОЛКОВАНИЯ МЕЖДУНАРОДНЫХ ДОГОВОРОВ</t>
  </si>
  <si>
    <t>Капустин А.Я., Авхадеев В.Р., Азнагулова Г. и др.</t>
  </si>
  <si>
    <t>978-5-00156-208-5</t>
  </si>
  <si>
    <t>40.05.04, 42.03.02, 41.03.05, 41.04.05, 40.05.01, 40.05.02, 40.05.03, 40.06.01, 41.03.01</t>
  </si>
  <si>
    <t>083370.09.02</t>
  </si>
  <si>
    <t>Современное государство:вопросы теории / А.Д.Керимов - М.:Юр.Норма, НИЦ ИНФРА-М,2022.-144 с.(П)</t>
  </si>
  <si>
    <t>СОВРЕМЕННОЕ ГОСУДАРСТВО</t>
  </si>
  <si>
    <t>Керимов А.Д.</t>
  </si>
  <si>
    <t>978-5-91768-817-6</t>
  </si>
  <si>
    <t>404950.06.01</t>
  </si>
  <si>
    <t>Современное право: теория и методология: Моногр. / Под ред. Лапаева В.В.-М.:Юр. НОРМА, НИЦ ИНФРА-М,2024.-304 с.(п)</t>
  </si>
  <si>
    <t>СОВРЕМЕННОЕ ПРАВО: ТЕОРИЯ И МЕТОДОЛОГИЯ</t>
  </si>
  <si>
    <t>Нерсесян В. С., Лапаева В. В.</t>
  </si>
  <si>
    <t>978-5-91768-307-2</t>
  </si>
  <si>
    <t>41.03.04, 40.03.01, 40.04.01, 38.04.04, 44.03.05, 41.03.06</t>
  </si>
  <si>
    <t>396900.07.01</t>
  </si>
  <si>
    <t>Современное правопонимание: Курс лекций / М.Н.Марченко - М.:Юр.Норма, НИЦ ИНФРА-М,2024 - 368с.(п)</t>
  </si>
  <si>
    <t>СОВРЕМЕННОЕ ПРАВОПОНИМАНИЕ</t>
  </si>
  <si>
    <t>Марченко М.Н., Ершов В.В., Ершова Е.А. и др.</t>
  </si>
  <si>
    <t>978-5-91768-656-1</t>
  </si>
  <si>
    <t>764218.04.01</t>
  </si>
  <si>
    <t>Современное российское государство: очерки: Монография / Н.А.Власенко - М.:Юр.Норма,ИНФРА-М,2023 - 152 с.(П)</t>
  </si>
  <si>
    <t>СОВРЕМЕННОЕ РОССИЙСКОЕ ГОСУДАРСТВО: ОЧЕРКИ</t>
  </si>
  <si>
    <t>978-5-00156-193-4</t>
  </si>
  <si>
    <t>779606.01.01</t>
  </si>
  <si>
    <t>Современное состояние и проблемы идент. в судеб. баллистике: Моногр./ А.В.Кокин-М.:НИЦ ИНФРА-М,2023-220с.(П)</t>
  </si>
  <si>
    <t>СОВРЕМЕННОЕ СОСТОЯНИЕ И ПРОБЛЕМЫ ИДЕНТИФИКАЦИИ В СУДЕБНОЙ БАЛЛИСТИКЕ</t>
  </si>
  <si>
    <t>Кокин А.В.</t>
  </si>
  <si>
    <t>978-5-16-017763-2</t>
  </si>
  <si>
    <t>40.03.01, 40.04.01, 40.05.01, 40.05.03, 40.06.01</t>
  </si>
  <si>
    <t>670292.02.01</t>
  </si>
  <si>
    <t>Современные вызовы юр. проф. и юрид.образования /Под ред. Тарасовой А.Е.-М.:НИЦ ИНФРА-М,2019-140с(О)</t>
  </si>
  <si>
    <t>СОВРЕМЕННЫЕ ВЫЗОВЫ ЮРИДИЧЕСКОЙ ПРОФЕССИИ И ЮРИДИЧЕСКОГО ОБРАЗОВАНИЯ</t>
  </si>
  <si>
    <t>Тарасова А.Е., Бардин Л.Н., Шимбарева Н.Г. и др.</t>
  </si>
  <si>
    <t>978-5-16-013481-9</t>
  </si>
  <si>
    <t>189896.03.01</t>
  </si>
  <si>
    <t>Современные тенденции развития торгового права: Моногр./Т.А.Батрова-М.:ИЦ РИОР, ИНФРА-М,2018-181с(О)</t>
  </si>
  <si>
    <t>СОВРЕМЕННЫЕ ТЕНДЕНЦИИ РАЗВИТИЯ ТОРГОВОГО ПРАВА</t>
  </si>
  <si>
    <t>Батрова Т. А.</t>
  </si>
  <si>
    <t>978-5-369-00939-0</t>
  </si>
  <si>
    <t>733412.08.01</t>
  </si>
  <si>
    <t>Современные юр. техн. в правотворчестве: Науч.-практ. пос./ Залоило М.В.-М:ИЗиСП:Норма:ИНФРА-М,2024-184с.(П)</t>
  </si>
  <si>
    <t>СОВРЕМЕННЫЕ ЮРИДИЧЕСКИЕ ТЕХНОЛОГИИ В ПРАВОТВОРЧЕСТВЕ: НАУЧНО-ПРАКТИЧЕСКОЕ ПОСОБИЕ</t>
  </si>
  <si>
    <t>Залоило М.В.</t>
  </si>
  <si>
    <t>978-5-00156-059-3</t>
  </si>
  <si>
    <t>289400.01.01</t>
  </si>
  <si>
    <t>Современный конституцион.: вызовы и перспективы /В.Д.Зорькин -М.:Юр.Норма,НИЦ ИНФРА-М,2016-480с.(П)</t>
  </si>
  <si>
    <t>СОВРЕМЕННЫЙ КОНСТИТУЦИОНАЛИЗМ: ВЫЗОВЫ И ПЕРСПЕКТИВЫ</t>
  </si>
  <si>
    <t>978-5-91768-514-4</t>
  </si>
  <si>
    <t>Материалы конференции (съезда, симпозиума)</t>
  </si>
  <si>
    <t>638294.02.01</t>
  </si>
  <si>
    <t>Современный российский конституционализм..: Моногр. / В.В.Комарова-М.:Юр.Норма,НИЦ ИНФРА-М,2018-448с</t>
  </si>
  <si>
    <t>СОВРЕМЕННЫЙ РОССИЙСКИЙ КОНСТИТУЦИОНАЛИЗМ: ПРОБЛЕМЫ СТАНОВЛЕНИЯ И ПЕРСПЕКТИВЫ РАЗВИТИЯ</t>
  </si>
  <si>
    <t>Комарова В.В., Садовникова Г.Д.</t>
  </si>
  <si>
    <t>978-5-91768-763-6</t>
  </si>
  <si>
    <t>484800.05.01</t>
  </si>
  <si>
    <t>Соседские отношения в гражд. праве России.: Моногр./Ю.Н.Андреев-М.:Юр.Норма,НИЦ ИНФРА-М,2022-208с(П)</t>
  </si>
  <si>
    <t>СОСЕДСКИЕ ОТНОШЕНИЯ В ГРАЖДАНСКОМ ПРАВЕ РОССИИ: ТЕОРИЯ И ПРАКТИКА</t>
  </si>
  <si>
    <t>978-5-91768-712-4</t>
  </si>
  <si>
    <t>778301.01.01</t>
  </si>
  <si>
    <t>Состязательность в рос. гражданском процессе / М.А.Алиэскеров-М.:Юр. НОРМА, НИЦ ИНФРА-М,2022.-288 с.(П)</t>
  </si>
  <si>
    <t>СОСТЯЗАТЕЛЬНОСТЬ В РОССИЙСКОМ ГРАЖДАНСКОМ ПРОЦЕССЕ</t>
  </si>
  <si>
    <t>Алиэскеров М.А.</t>
  </si>
  <si>
    <t>978-5-00156-148-4</t>
  </si>
  <si>
    <t>Калужский областной суд</t>
  </si>
  <si>
    <t>693972.03.01</t>
  </si>
  <si>
    <t>Состязательный гражданский процесс в прав. соц. гос.: Моногр. / М.А.Алиэскеров-М.:Юр.Норма, НИЦ ИНФРА-М,2022.-240 с.(П)</t>
  </si>
  <si>
    <t>СОСТЯЗАТЕЛЬНЫЙ ГРАЖДАНСКИЙ ПРОЦЕСС В ПРАВОВОМ СОЦИАЛЬНОМ ГОСУДАРСТВЕ</t>
  </si>
  <si>
    <t>978-5-91768-971-5</t>
  </si>
  <si>
    <t>694494.02.01</t>
  </si>
  <si>
    <t>Социальная эффектив. орг. внутренних дел: Моногр. / Е.Г.Бунов - М.:НИЦ ИНФРА-М,2022 - 183 с.(Науч.мысль)(П)</t>
  </si>
  <si>
    <t>СОЦИАЛЬНАЯ ЭФФЕКТИВНОСТЬ ОРГАНОВ ВНУТРЕННИХ ДЕЛ</t>
  </si>
  <si>
    <t>Бунов Е.Г.</t>
  </si>
  <si>
    <t>978-5-16-017251-4</t>
  </si>
  <si>
    <t>Государственный университет управления</t>
  </si>
  <si>
    <t>087200.15.01</t>
  </si>
  <si>
    <t>Социальные основания права: Моногр. / Г.В. Мальцев. - М.: Норма:  НИЦ ИНФРА-М, 2023. - 800 с.(П)</t>
  </si>
  <si>
    <t>СОЦИАЛЬНЫЕ ОСНОВАНИЯ ПРАВА</t>
  </si>
  <si>
    <t>978-5-91768-175-7</t>
  </si>
  <si>
    <t>40.03.01, 40.04.01, 40.05.01, 40.05.02, 40.05.03, 39.03.01, 44.03.05</t>
  </si>
  <si>
    <t>651863.04.01</t>
  </si>
  <si>
    <t>Социокльтурные (архетип и ментал.) основ.публ.-власт.../В.Я.Любашиц-М.:ИЦ РИОР,НИЦ ИНФРА-М,2024-187с</t>
  </si>
  <si>
    <t>СОЦИОКЛЬТУРНЫЕ (АРХЕТИПИЧЕСКИЕ И МЕНТАЛЬНЫЕ) ОСНОВАНИЯ ПУБЛИЧНО-ВЛАСТНОЙ ОРГАНИЗАЦИИ ОБЩЕСТВА</t>
  </si>
  <si>
    <t>Любашиц В.Я., Овчинников А.И., Мамычев А.Ю. и др.</t>
  </si>
  <si>
    <t>978-5-369-01676-3</t>
  </si>
  <si>
    <t>747746.03.01</t>
  </si>
  <si>
    <t>Социология для юристов: Уч. / О.Ю.Рыбаков и др.-М.:Юр.Норма, НИЦ ИНФРА-М,2023.-400 с.(П)</t>
  </si>
  <si>
    <t>СОЦИОЛОГИЯ ДЛЯ ЮРИСТОВ</t>
  </si>
  <si>
    <t>Рыбаков О.Ю., Беляев М.А., Гунибский М.Ш. и др.</t>
  </si>
  <si>
    <t>978-5-00156-138-5</t>
  </si>
  <si>
    <t>025770.09.01</t>
  </si>
  <si>
    <t>Социология права: Уч.пос. / В.В.Лапаева, - 2-е изд.-М.:НОРМА, НИЦ ИНФРА-М,2023.-336 с.(О)</t>
  </si>
  <si>
    <t>СОЦИОЛОГИЯ ПРАВА, ИЗД.2</t>
  </si>
  <si>
    <t>Лапаева В. В.</t>
  </si>
  <si>
    <t>978-5-91768-519-9</t>
  </si>
  <si>
    <t>40.05.04, 40.03.01, 40.04.01, 40.05.01, 40.05.02, 40.05.03, 39.03.01</t>
  </si>
  <si>
    <t>785765.01.01</t>
  </si>
  <si>
    <t>Специальная техника правоохранит. органов: Уч.пос. / В.В.Горовой-М.:НИЦ ИНФРА-М,2024.-337 с.(ВО.Сп)(п)</t>
  </si>
  <si>
    <t>СПЕЦИАЛЬНАЯ ТЕХНИКА ПРАВООХРАНИТЕЛЬНЫХ ОРГАНОВ</t>
  </si>
  <si>
    <t>Горовой В.В., Горовая Е.Ю.</t>
  </si>
  <si>
    <t>978-5-16-018228-5</t>
  </si>
  <si>
    <t>40.03.01, 40.05.01, 40.05.02</t>
  </si>
  <si>
    <t>644391.05.01</t>
  </si>
  <si>
    <t>Спортивная криминология: Моногр. / А.П.Алексеева - 2 изд. - М.:НИЦ ИНФРА-М,2021 - 325 с..-(Науч.мысль)(П)</t>
  </si>
  <si>
    <t>СПОРТИВНАЯ КРИМИНОЛОГИЯ, ИЗД.2</t>
  </si>
  <si>
    <t>Алексеева А.П.</t>
  </si>
  <si>
    <t>978-5-16-012553-4</t>
  </si>
  <si>
    <t>470450.08.01</t>
  </si>
  <si>
    <t>Способы восполнения пробелов в праве: Моногр. / С.А.Дробышевский-М.:Юр. НОРМА, НИЦ ИНФРА-М,2024.-176 с.(о)</t>
  </si>
  <si>
    <t>СПОСОБЫ ВОСПОЛНЕНИЯ ПРОБЕЛОВ В ПРАВЕ</t>
  </si>
  <si>
    <t>Дробышевский С. А., Тихонравов Е. Ю.</t>
  </si>
  <si>
    <t>978-5-91768-508-3</t>
  </si>
  <si>
    <t>034250.20.01</t>
  </si>
  <si>
    <t>Справочник по доказ. в гражд. судопроизв. / И.В.Решетникова - 6 изд.-М.:Норма,НИЦ ИНФРА-М,2020-448с</t>
  </si>
  <si>
    <t>СПРАВОЧНИК ПО ДОКАЗЫВАНИЮ В ГРАЖДАНСКОМ СУДОПРОИЗВОДСТВЕ, ИЗД.6</t>
  </si>
  <si>
    <t>Решетникова И.В.</t>
  </si>
  <si>
    <t>978-5-91768-722-3</t>
  </si>
  <si>
    <t>034250.27.01</t>
  </si>
  <si>
    <t>Справочник по доказ. в гражд. судопроизв. / И.В.Решетникова - 7 изд.-М.:Норма,НИЦ ИНФРА-М,2024-472с.(П)</t>
  </si>
  <si>
    <t>СПРАВОЧНИК ПО ДОКАЗЫВАНИЮ В ГРАЖДАНСКОМ СУДОПРОИЗВОДСТВЕ, ИЗД.7</t>
  </si>
  <si>
    <t>Решетникова И.В., Закарлюка А.В., Звягинцева Л.М. и др.</t>
  </si>
  <si>
    <t>978-5-00156-077-7</t>
  </si>
  <si>
    <t>0720</t>
  </si>
  <si>
    <t>485200.13.01</t>
  </si>
  <si>
    <t>Справочник по доказыванию в адм. судопроизв. / И.В.Решетников - 2 изд.-М.:Юр.Норма, НИЦ ИНФРА-М,2023-160с.(П)</t>
  </si>
  <si>
    <t>СПРАВОЧНИК ПО ДОКАЗЫВАНИЮ В АДМИНИСТРАТИВНОМ СУДОПРОИЗВОДСТВЕ, ИЗД.2</t>
  </si>
  <si>
    <t>978-5-00156-060-9</t>
  </si>
  <si>
    <t>40.02.01, 40.02.02, 40.03.01, 40.04.01, 40.06.01, 38.03.04, 44.03.05</t>
  </si>
  <si>
    <t>485200.07.01</t>
  </si>
  <si>
    <t>Справочник по доказыванию в админ. судопроиз./И.В.Решетникова -М.:Юр.Норма, НИЦ ИНФРА-М,2019-128с(О)</t>
  </si>
  <si>
    <t>СПРАВОЧНИК ПО ДОКАЗЫВАНИЮ В АДМИНИСТРАТИВНОМ СУДОПРОИЗВОДСТВЕ</t>
  </si>
  <si>
    <t>978-5-91768-714-8</t>
  </si>
  <si>
    <t>718666.06.01</t>
  </si>
  <si>
    <t>Справочник по доказыванию в арбитраж. процес. / И.В.Решетникова - 2 изд.-М.:Юр. НОРМА, НИЦ ИНФРА-М,2023.-480 с.(П)</t>
  </si>
  <si>
    <t>СПРАВОЧНИК ПО ДОКАЗЫВАНИЮ В АРБИТРАЖНОМ ПРОЦЕССЕ, ИЗД.2</t>
  </si>
  <si>
    <t>Решетникова И.В., Куликова М.А., Вербенко Т.Л. и др.</t>
  </si>
  <si>
    <t>978-5-00156-225-2</t>
  </si>
  <si>
    <t>718666.04.01</t>
  </si>
  <si>
    <t>Справочник по доказыванию в арбитраж. процес. / И.В.Решетникова-М.:Юр.Норма, НИЦ ИНФРА-М,2021.-360 с.(П)</t>
  </si>
  <si>
    <t>СПРАВОЧНИК ПО ДОКАЗЫВАНИЮ В АРБИТРАЖНОМ ПРОЦЕССЕ</t>
  </si>
  <si>
    <t>978-5-00156-024-1</t>
  </si>
  <si>
    <t>807641.01.01</t>
  </si>
  <si>
    <t>Сравнительная история зарубеж. права: В 2 т.: Т.2. Совр. прав...: Уч./Д.Ю.Полдников-М.:Юр. НОРМА, НИЦ ИНФРА-М,2024-624с.(п)</t>
  </si>
  <si>
    <t>СРАВНИТЕЛЬНАЯ ИСТОРИЯ ЗАРУБЕЖНОГО ПРАВА В 2-Х ТТ., Т.2</t>
  </si>
  <si>
    <t>Полдников Д.Ю.</t>
  </si>
  <si>
    <t>978-5-00156-317-4</t>
  </si>
  <si>
    <t>806116.01.01</t>
  </si>
  <si>
    <t>Сравнительная история зарубежного права: Уч. Т.1 / Д.Ю.Полдников-М.:Юр. НОРМА, НИЦ ИНФРА-М,2024.-544 с.(п)</t>
  </si>
  <si>
    <t>СРАВНИТЕЛЬНАЯ ИСТОРИЯ ЗАРУБЕЖНОГО ПРАВА В 2-Х ТТ., Т.1</t>
  </si>
  <si>
    <t>978-5-00156-308-2</t>
  </si>
  <si>
    <t>411400.07.01</t>
  </si>
  <si>
    <t>Сравнительная криминология:Моногр. /И.М.Клейменов -М.:Юр.Норма, НИЦ ИНФРА-М,2022.-368 с.(П)</t>
  </si>
  <si>
    <t>СРАВНИТЕЛЬНАЯ КРИМИНОЛОГИЯ</t>
  </si>
  <si>
    <t>Клейменов И. М.</t>
  </si>
  <si>
    <t>978-5-91768-322-5</t>
  </si>
  <si>
    <t>173050.03.01</t>
  </si>
  <si>
    <t>Сравнительная правовая политика: Уч.пос. / А.Ю.Саломатин -М.:ИЦ РИОР, НИЦ ИНФРА-М,2017-156с.(ВО)(П)</t>
  </si>
  <si>
    <t>СРАВНИТЕЛЬНАЯ ПРАВОВАЯ ПОЛИТИКА</t>
  </si>
  <si>
    <t>Саломатин А.Ю., Агеева Е.А., Марковичева Е.В.</t>
  </si>
  <si>
    <t>978-5-369-01030-3</t>
  </si>
  <si>
    <t>796852.01.01</t>
  </si>
  <si>
    <t>Сравнительное государствоведение: Моногр.-М.:ИЦ РИОР, НИЦ ИНФРА-М,2023.-245 с.(Науч.мысль)(п)</t>
  </si>
  <si>
    <t>СРАВНИТЕЛЬНОЕ ГОСУДАРСТВОВЕДЕНИЕ</t>
  </si>
  <si>
    <t>Саломатин А.Ю., Гуляков А.Д., Агеева Е.А. и др.</t>
  </si>
  <si>
    <t>978-5-369-01919-1</t>
  </si>
  <si>
    <t>41.04.04, 40.04.01, 40.06.01, 41.06.01</t>
  </si>
  <si>
    <t>142200.13.01</t>
  </si>
  <si>
    <t>Сравнительное государствоведение: Уч.пос. / В.Е.Чиркин - М.:Юр.Норма, ИНФРА-М,2023.-448 с.(П)</t>
  </si>
  <si>
    <t>978-5-91768-144-3</t>
  </si>
  <si>
    <t>718658.03.01</t>
  </si>
  <si>
    <t>Сравнительное правоведение: Уч. / А.Х.Саидов - М.:Юр.Норма, НИЦ ИНФРА-М,2023 - 320 с.(П)</t>
  </si>
  <si>
    <t>СРАВНИТЕЛЬНОЕ ПРАВОВЕДЕНИЕ</t>
  </si>
  <si>
    <t>Саидов А.Х.</t>
  </si>
  <si>
    <t>978-5-00156-021-0</t>
  </si>
  <si>
    <t>Академия наук Республики Узбекистан</t>
  </si>
  <si>
    <t>357400.10.01</t>
  </si>
  <si>
    <t>Сравнительное правоведение: Уч. для магистратуры / В.Е.Чиркин - М.:Юр.Норма,НИЦ ИНФРА-М,2022 - 320 с.(П)</t>
  </si>
  <si>
    <t>СРАВНИТЕЛЬНОЕ ПРАВОВЕДЕНИЕ, ИЗД.2</t>
  </si>
  <si>
    <t>978-5-91768-618-9</t>
  </si>
  <si>
    <t>092850.09.01</t>
  </si>
  <si>
    <t>Сравнительное правоведение: Уч.-метод. комплекс / А.В. Малько - М.: НОРМА, 2020-352с. (п)</t>
  </si>
  <si>
    <t>Малько А. В., Саломатин А. Ю.</t>
  </si>
  <si>
    <t>Серия учебно-методических комплексов</t>
  </si>
  <si>
    <t>978-5-468-00186-8</t>
  </si>
  <si>
    <t>705357.01.01</t>
  </si>
  <si>
    <t>Ставропольский край как субъект РФ...: Моногр. / В.А.Черепанов - М.:Юр.Норма,2019.-384 с.(П)</t>
  </si>
  <si>
    <t>СТАВРОПОЛЬСКИЙ КРАЙ КАК СУБЪЕКТ РОССИЙСКОЙ ФЕДЕРАЦИИ: КОНСТИТУЦИОННО-ПРАВОВОЕ ИССЛЕДОВАНИЕ</t>
  </si>
  <si>
    <t>978-5-91768-637-0</t>
  </si>
  <si>
    <t>434250.05.01</t>
  </si>
  <si>
    <t>Становление и развитие сравнительно-правовых исследований в цивилистике России (XIX - начало XX века): монография / Т.А.Желдыбина-М.:НИЦ ИНФРА-М,2018.</t>
  </si>
  <si>
    <t>СТАНОВЛЕНИЕ И РАЗВИТИЕ СРАВНИТЕЛЬНО-ПРАВОВЫХ ИССЛЕДОВАНИЙ В ЦИВИЛИСТИКЕ РОССИИ (XIX - НАЧАЛО XX ВЕКА)</t>
  </si>
  <si>
    <t>Желдыбина Т. А.</t>
  </si>
  <si>
    <t>978-5-16-006690-5</t>
  </si>
  <si>
    <t>431100.07.01</t>
  </si>
  <si>
    <t>Страдание и его роль в культуре: Моногр. / Ю.М. Антонян. - М.: Норма:  ИНРФА-М, 2023. - 224с.(о)</t>
  </si>
  <si>
    <t>СТРАДАНИЕ И ЕГО РОЛЬ В КУЛЬТУРЕ</t>
  </si>
  <si>
    <t>Антонян Ю.М.</t>
  </si>
  <si>
    <t>978-5-91768-356-0</t>
  </si>
  <si>
    <t>47.03.01, 47.04.01, 51.04.01</t>
  </si>
  <si>
    <t>475400.06.01</t>
  </si>
  <si>
    <t>Стратегии  борьбы с преступностью: Моногр. / В.Н.Кудрявцев-2изд.-М.:Юр.Норма,НИЦ ИНФРА-М,2022-368с(П)</t>
  </si>
  <si>
    <t>СТРАТЕГИИ  БОРЬБЫ С ПРЕСТУПНОСТЬЮ, ИЗД.2</t>
  </si>
  <si>
    <t>978-5-91768-704-9</t>
  </si>
  <si>
    <t>639394.04.01</t>
  </si>
  <si>
    <t>Стратегия разв.правосуд.в усл.глобализ.: Моногр. / Малько А.В. - М.:ИЦ РИОР,НИЦ ИНФРА-М,2022 - 227 с.(О)</t>
  </si>
  <si>
    <t>СТРАТЕГИЯ РАЗВИТИЯ ПРАВОСУДИЯ В УСЛОВИЯХ ГЛОБАЛИЗАЦИИ</t>
  </si>
  <si>
    <t>Саломатин А.Ю., Малько А.В., Терехин В.А. и др.</t>
  </si>
  <si>
    <t>978-5-369-01596-4</t>
  </si>
  <si>
    <t>182800.06.01</t>
  </si>
  <si>
    <t>Страховое право: теоретические основы..: Моногр. /Ю.Б.Фогельсон-М.:Юр.Норма,НИЦ ИНФРА-М,2021-576с(П)</t>
  </si>
  <si>
    <t>СТРАХОВОЕ ПРАВО: ТЕОРЕТИЧЕСКИЕ ОСНОВЫ И ПРАКТИКА ПРИМЕНЕНИЯ</t>
  </si>
  <si>
    <t>Фогельсон Ю. Б.</t>
  </si>
  <si>
    <t>978-5-91768-268-6</t>
  </si>
  <si>
    <t>678848.04.01</t>
  </si>
  <si>
    <t>Страховой надзор в РФ: Уч.пос. / А.А.Ситник - 2 изд. - М.:Юр.Норма, НИЦ ИНФРА-М,2023 - 176 с.(П)</t>
  </si>
  <si>
    <t>СТРАХОВОЙ НАДЗОР В РФ, ИЗД.2</t>
  </si>
  <si>
    <t>Ситник А.А., Рождественская Т.Э., Гузнов А.Г.</t>
  </si>
  <si>
    <t>978-5-00156-133-0</t>
  </si>
  <si>
    <t>678848.01.01</t>
  </si>
  <si>
    <t>Страховой надзор в РФ: Уч.пос. для магистр. / А.А.Ситник - М.:Юр.Норма,НИЦ ИНФРА-М,2018 - 160 с.(П)</t>
  </si>
  <si>
    <t>СТРАХОВОЙ НАДЗОР В РФ</t>
  </si>
  <si>
    <t>978-5-91768-898-5</t>
  </si>
  <si>
    <t>734795.02.01</t>
  </si>
  <si>
    <t>Страховой риск: сравнит.-правовое исслед.: Моногр. / М.В.Кратенко - М.:Юр.Норма, НИЦ ИНФРА-М,2022 - 272 с.(П)</t>
  </si>
  <si>
    <t>СТРАХОВОЙ РИСК: СРАВНИТЕЛЬНО-ПРАВОВОЕ ИССЛЕДОВАНИЕ</t>
  </si>
  <si>
    <t>Кратенко М.В.</t>
  </si>
  <si>
    <t>978-5-00156-066-1</t>
  </si>
  <si>
    <t>681314.05.01</t>
  </si>
  <si>
    <t>Субъективные права и обязан.в частном и публ.праве: Моногр. / Т.А.Солодовниченко-М.:НИЦ ИНФРА-М,2023-111с(О)</t>
  </si>
  <si>
    <t>СУБЪЕКТИВНЫЕ ПРАВА И ОБЯЗАННОСТИ В ЧАСТНОМ И ПУБЛИЧНОМ ПРАВЕ</t>
  </si>
  <si>
    <t>Солодовниченко Т.А.</t>
  </si>
  <si>
    <t>978-5-16-013795-7</t>
  </si>
  <si>
    <t>291000.07.01</t>
  </si>
  <si>
    <t>Субъекты современного международного права: Моногр. / О.И.Тиунов-М.:НИЦ ИНФРА-М,2023-184с.(ИЗиСП)(О)</t>
  </si>
  <si>
    <t>СУБЪЕКТЫ СОВРЕМЕННОГО МЕЖДУНАРОДНОГО ПРАВА</t>
  </si>
  <si>
    <t>Тиунов О.И., Авхадеев В.Р., Бальхаева С.Б. и др.</t>
  </si>
  <si>
    <t>978-5-16-015913-3</t>
  </si>
  <si>
    <t>166550.06.01</t>
  </si>
  <si>
    <t>Суверенитет как полит.-прав. феномен: Моногр. / А.Л.Бредихин-М.:НИЦ ИНФРА-М,2020-128с(Науч.мысль)(О)</t>
  </si>
  <si>
    <t>СУВЕРЕНИТЕТ КАК ПОЛИТИКО-ПРАВОВОЙ ФЕНОМЕН</t>
  </si>
  <si>
    <t>Бредихин А.Л.</t>
  </si>
  <si>
    <t>978-5-16-005216-8</t>
  </si>
  <si>
    <t>41.03.04, 40.03.01, 41.04.04, 40.04.01, 38.03.04, 44.03.05, 41.03.06</t>
  </si>
  <si>
    <t>749701.03.01</t>
  </si>
  <si>
    <t>Суд и право: евразийская интеграция: Моногр. / Т.Н.Нешатаева - М.:Юр. НОРМА, НИЦ ИНФРА-М,2024 - 336 с.(П)</t>
  </si>
  <si>
    <t>СУД И ПРАВО: ЕВРАЗИЙСКАЯ ИНТЕГРАЦИЯ</t>
  </si>
  <si>
    <t>Нешатаева Т.Н.</t>
  </si>
  <si>
    <t>978-5-00156-141-5</t>
  </si>
  <si>
    <t>782711.01.01</t>
  </si>
  <si>
    <t>Судебная автороведческая экспертиза: Уч.пос.-М.:Юр. НОРМА, НИЦ ИНФРА-М,2023.-380 с.(П)</t>
  </si>
  <si>
    <t>СУДЕБНАЯ АВТОРОВЕДЧЕСКАЯ ЭКСПЕРТИЗА</t>
  </si>
  <si>
    <t>Соколова Т.П., Чубина Е.А.</t>
  </si>
  <si>
    <t>978-5-00156-251-1</t>
  </si>
  <si>
    <t>781791.01.01</t>
  </si>
  <si>
    <t>Судебная баллистика: рус.-англ. и англ.-рус. сл.: Словарь / А.В.Кокин-М.:НИЦ ИНФРА-М,2022.-486 с.(п)</t>
  </si>
  <si>
    <t>СУДЕБНАЯ БАЛЛИСТИКА: РУССКО-АНГЛИЙСКИЙ И АНГЛО-РУССКИЙ СЛОВАРЬ</t>
  </si>
  <si>
    <t>Библиотека словарей ИНФРА-М</t>
  </si>
  <si>
    <t>978-5-16-017798-4</t>
  </si>
  <si>
    <t>40.03.01, 40.04.01, 40.05.03</t>
  </si>
  <si>
    <t>158100.08.01</t>
  </si>
  <si>
    <t>Судебная защита исключительных прав..: Моногр./Ю.Н.Андреев-М.:Юр.Норма, ИНФРА-М Изд. Дом,2022.-400 с.(П)</t>
  </si>
  <si>
    <t>СУДЕБНАЯ ЗАЩИТА ИСКЛЮЧИТЕЛЬНЫХ ПРАВ: ЦИВИЛИСТИЧЕСКИЕ АСПЕКТЫ</t>
  </si>
  <si>
    <t>978-5-91768-203-7</t>
  </si>
  <si>
    <t>692964.05.01</t>
  </si>
  <si>
    <t>Судебная лингвист. экспертиза рекламы: Моногр. / Е.А.Чубина - М.:Юр.Норма,НИЦ ИНФРА-М,2023 - 192 с(П)</t>
  </si>
  <si>
    <t>СУДЕБНАЯ ЛИНГВИСТИЧЕСКАЯ ЭКСПЕРТИЗА РЕКЛАМЫ</t>
  </si>
  <si>
    <t>Чубина Е.А.</t>
  </si>
  <si>
    <t>978-5-91768-962-3</t>
  </si>
  <si>
    <t>079700.16.01</t>
  </si>
  <si>
    <t>Судебная медицина и психиатрия: Уч. / А.В.Датий - 3 изд. - М.:ИЦ РИОР, НИЦ ИНФРА-М,2024-294с.(ВО)(П)</t>
  </si>
  <si>
    <t>СУДЕБНАЯ МЕДИЦИНА И ПСИХИАТРИЯ, ИЗД.3</t>
  </si>
  <si>
    <t>Датий А. В.</t>
  </si>
  <si>
    <t>978-5-369-01091-4</t>
  </si>
  <si>
    <t>40.05.04, 40.03.01, 32.04.01, 40.04.01, 40.05.01, 40.05.02, 40.05.03, 31.05.01, 31.05.02, 32.05.01</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</si>
  <si>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 и направлению "Юриспруденция"</t>
  </si>
  <si>
    <t>Первый Московский государственный медицинский университет им. И.М. Сеченова</t>
  </si>
  <si>
    <t>061240.09.01</t>
  </si>
  <si>
    <t>Судебная медицина и психиатрия: Уч. пос. / А.В.Датий - 2 изд. - М.:ИЦ РИОР,НИЦ ИНФРА-М,2022-152с(ВО)(о)</t>
  </si>
  <si>
    <t>СУДЕБНАЯ МЕДИЦИНА И ПСИХИАТРИЯ, ИЗД.2</t>
  </si>
  <si>
    <t>978-5-369-01530-8</t>
  </si>
  <si>
    <t>40.05.04, 40.03.01, 40.05.01, 40.05.02, 40.05.03, 31.05.01, 31.05.02, 32.05.01</t>
  </si>
  <si>
    <t>185550.07.01</t>
  </si>
  <si>
    <t>Судебная медицина: Лекции / В.С. Пауков. - М.: Норма:  НИЦ Инфра-М, 2023. - 288 с (о)</t>
  </si>
  <si>
    <t>СУДЕБНАЯ МЕДИЦИНА: ЛЕКЦИИ</t>
  </si>
  <si>
    <t>Пауков В. С.</t>
  </si>
  <si>
    <t>978-5-91768-288-4</t>
  </si>
  <si>
    <t>40.05.04, 40.03.01, 40.04.01, 40.05.01, 40.05.02, 40.05.03, 31.05.01, 31.05.02, 32.05.01</t>
  </si>
  <si>
    <t>Московская академия экономики и права</t>
  </si>
  <si>
    <t>717483.09.01</t>
  </si>
  <si>
    <t>Судебная медицина: Уч. / И.В.Буромский и др. - М.:Юр.Норма, НИЦ ИНФРА-М,2023 - 688 с.(П)</t>
  </si>
  <si>
    <t>СУДЕБНАЯ МЕДИЦИНА</t>
  </si>
  <si>
    <t>Буромский И.В., Макаров И.Ю., Кильдюшов Е.М. и др.</t>
  </si>
  <si>
    <t>978-5-00156-015-9</t>
  </si>
  <si>
    <t>40.05.04, 40.02.01, 40.02.02, 40.03.01, 40.05.01, 40.05.02, 40.05.03, 31.05.01, 31.05.02, 32.05.01, 40.02.03</t>
  </si>
  <si>
    <t>049200.17.01</t>
  </si>
  <si>
    <t>Судебная медицина: Уч. / Под ред. В.Н. Крюкова - 2 изд. - М.: Норма:НИЦ ИНФРА-М, 2024 - 432 с.(п)</t>
  </si>
  <si>
    <t>СУДЕБНАЯ МЕДИЦИНА, ИЗД.2</t>
  </si>
  <si>
    <t>Крюков В.Н.</t>
  </si>
  <si>
    <t>978-5-91768-248-8</t>
  </si>
  <si>
    <t>Рекомендовано Учебно-методическим объединением образовательных учреждений профессионального образования в области судебной экспертизы в качестве учебника для студентов высших учебных заведений, обучающихся по специальности "Судебная экспертиза"</t>
  </si>
  <si>
    <t>648390.08.01</t>
  </si>
  <si>
    <t>Судебная почерковедческая экспертиза: Уч.пос. / И.Н.Подволоцкий - М.:Юр.Норма, НИЦ ИНФРА-М,2022-272с.(П)</t>
  </si>
  <si>
    <t>СУДЕБНАЯ ПОЧЕРКОВЕДЧЕСКАЯ ЭКСПЕРТИЗА</t>
  </si>
  <si>
    <t>Подволоцкий И.Н.</t>
  </si>
  <si>
    <t>978-5-91768-799-5</t>
  </si>
  <si>
    <t>658966.04.01</t>
  </si>
  <si>
    <t>Судебная практика в механиз.прав.монитор.: Науч.-практ.пос. / М.Е.Глазкова - М.:НИЦ ИНФРА-М,ИЗиСП,2022-168с(О)</t>
  </si>
  <si>
    <t>СУДЕБНАЯ ПРАКТИКА В МЕХАНИЗМЕ ПРАВОВОГО МОНИТОРИНГА</t>
  </si>
  <si>
    <t>Глазкова М.Е., Павлушкин А.В., Севальнев В.В. и др.</t>
  </si>
  <si>
    <t>978-5-16-012886-3</t>
  </si>
  <si>
    <t>656123.05.01</t>
  </si>
  <si>
    <t>Судебная практика в совр. правовой сист. России / Т.Я.Хабриева-М.:Юр.Норма,НИЦ ИНФРА-М,2024-432с.(П)</t>
  </si>
  <si>
    <t>СУДЕБНАЯ ПРАКТИКА В СОВРЕМЕННОЙ ПРАВОВОЙ СИСТЕМЕ РОССИИ</t>
  </si>
  <si>
    <t>978-5-91768-835-0</t>
  </si>
  <si>
    <t>003921.21.01</t>
  </si>
  <si>
    <t>Судебная психиатрия: Уч. для вузов / Н.М. Жариков - 6изд. - М.: Норма:НИЦ ИНФРА-М, 2023 - 632с.(п)</t>
  </si>
  <si>
    <t>СУДЕБНАЯ ПСИХИАТРИЯ, ИЗД.6</t>
  </si>
  <si>
    <t>Хритинин Д.Ф., Котов В.П., Полубинская С.В.</t>
  </si>
  <si>
    <t>978-5-91768-607-3</t>
  </si>
  <si>
    <t>40.05.04, 40.03.01, 40.04.01, 40.05.01, 40.05.02, 40.05.03, 31.05.01, 33.05.01, 31.08.10, 31.08.20, 31.08.24</t>
  </si>
  <si>
    <t>Рекомендовано Учебно-методическим объединением по медицинскому и фармацевтическому образованию в качестве учебника для студентов медицинских вузов</t>
  </si>
  <si>
    <t>650832.08.01</t>
  </si>
  <si>
    <t>Судебная фотография и видеозапись: Уч. / Г.П.Шамаев - М.:Юр.Норма, НИЦ ИНФРА-М,2022 - 528 с.(П)</t>
  </si>
  <si>
    <t>СУДЕБНАЯ ФОТОГРАФИЯ И ВИДЕОЗАПИСЬ</t>
  </si>
  <si>
    <t>Шамаев Г.П.</t>
  </si>
  <si>
    <t>978-5-91768-811-4</t>
  </si>
  <si>
    <t>766865.01.01</t>
  </si>
  <si>
    <t>Судебная экономическая экспертиза. Сб. задач.. Прак.: Уч.пос. / Н.Г.Гаджиев - М.:НИЦ ИНФРА-М,2022-167 с.(ВО)(П)</t>
  </si>
  <si>
    <t>СУДЕБНАЯ ЭКОНОМИЧЕСКАЯ ЭКСПЕРТИЗА. СБОРНИК ЗАДАЧ, СИТУАЦИЙ, ТЕСТОВ</t>
  </si>
  <si>
    <t>Гаджиев Н.Г., Киселева О.В., Коноваленко С.А. и др.</t>
  </si>
  <si>
    <t>978-5-16-017335-1</t>
  </si>
  <si>
    <t>38.04.01, 38.05.01</t>
  </si>
  <si>
    <t>Рекомендовано Межрегиональным учебно-методическим советом профессионального образования в качестве учебного пособия для курсантов, студентов, обучающихся в высших учебных заведениях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</si>
  <si>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Дагестанский государственный университет</t>
  </si>
  <si>
    <t>734289.04.01</t>
  </si>
  <si>
    <t>Судебная экономическая экспертиза: Уч. / Н.Г.Гаджиев.-М.:НИЦ ИНФРА-М,2024.-200 с.(ВО: Спец.)(П)</t>
  </si>
  <si>
    <t>СУДЕБНАЯ ЭКОНОМИЧЕСКАЯ ЭКСПЕРТИЗА</t>
  </si>
  <si>
    <t>Гаджиев Н.Г., Скрипкина О.В., Киселева О.В. и др.</t>
  </si>
  <si>
    <t>978-5-16-016407-6</t>
  </si>
  <si>
    <t>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</si>
  <si>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2 от 17.02.2021)</t>
  </si>
  <si>
    <t>058500.09.01</t>
  </si>
  <si>
    <t>Судебная экспертиза в гражд., арбитр., адм..: Моногр. /Е.Р.Россинская-3изд-НОРМА:НИЦ ИНФРА-М,2015-736 (п)</t>
  </si>
  <si>
    <t>СУДЕБНАЯ ЭКСПЕРТИЗА В ГРАЖДАНСКОМ, АРБИТРАЖНОМ, АДМИНИСТРАТИВНОМ И УГОЛОВНОМ ПРОЦЕССЕ, ИЗД.3</t>
  </si>
  <si>
    <t>978-5-91768-458-1</t>
  </si>
  <si>
    <t>058500.16.01</t>
  </si>
  <si>
    <t>Судебная экспертиза в гражд.,арбитр.,адм..: Моногр. / Е.Р.Россинская - 4 изд. - НОРМА:НИЦ ИНФРА-М,2024-576с(П)</t>
  </si>
  <si>
    <t>СУДЕБНАЯ ЭКСПЕРТИЗА В ГРАЖДАНСКОМ, АРБИТРАЖНОМ, АДМИНИСТРАТИВНОМ И УГОЛОВНОМ ПРОЦЕССЕ, ИЗД.4</t>
  </si>
  <si>
    <t>978-5-91768-955-5</t>
  </si>
  <si>
    <t>789310.01.01</t>
  </si>
  <si>
    <t>Судебная экспертиза контролируемых веществ: Уч. / Под ред. Ивановой Е.В.-М.:НИЦ ИНФРА-М,2023.-377 с.(ВО)(п)</t>
  </si>
  <si>
    <t>СУДЕБНАЯ ЭКСПЕРТИЗА КОНТРОЛИРУЕМЫХ ВЕЩЕСТВ</t>
  </si>
  <si>
    <t>Иванова Е.В., Майорова Е.И., Антихович О.К. и др.</t>
  </si>
  <si>
    <t>978-5-16-018018-2</t>
  </si>
  <si>
    <t>40.05.01, 40.05.03</t>
  </si>
  <si>
    <t>072260.14.01</t>
  </si>
  <si>
    <t>Судебная экспертиза: Курс общей теории: Моногр. / Т.В.Аверьянова - М.:Юр.Норма, НИЦ ИНФРА-М,2023 - 480 с.(П)</t>
  </si>
  <si>
    <t>СУДЕБНАЯ ЭКСПЕРТИЗА: КУРС ОБЩЕЙ ТЕОРИИ</t>
  </si>
  <si>
    <t>Аверьянова Т. В.</t>
  </si>
  <si>
    <t>978-5-91768-013-2</t>
  </si>
  <si>
    <t>Рекомендовано Учебно-методическим объединением образовательных учреждений профессионального образования в области судебной экспертизы для использования в учебном процессе по специальности  "Судебная экспертиза"</t>
  </si>
  <si>
    <t>771489.01.01</t>
  </si>
  <si>
    <t>Судебно-бухгалтерская экспертиза: Уч. / В.А.Тимченко-М.:НИЦ ИНФРА-М,2023.-244 с.(ВО: Спец.)(П)</t>
  </si>
  <si>
    <t>СУДЕБНО-БУХГАЛТЕРСКАЯ ЭКСПЕРТИЗА</t>
  </si>
  <si>
    <t>Тимченко В.А.</t>
  </si>
  <si>
    <t>978-5-16-017469-3</t>
  </si>
  <si>
    <t>717492.03.01</t>
  </si>
  <si>
    <t>Судебное речеведение: Уч. / Е.И.Галяшина-М.:Юр. НОРМА, НИЦ ИНФРА-М,2023.-320 с.(П)</t>
  </si>
  <si>
    <t>СУДЕБНОЕ РЕЧЕВЕДЕНИЕ</t>
  </si>
  <si>
    <t>Галяшина Е.И.</t>
  </si>
  <si>
    <t>978-5-00156-016-6</t>
  </si>
  <si>
    <t>40.05.04, 40.03.01, 40.04.01, 40.05.01, 40.05.02, 40.05.03, 40.02.03</t>
  </si>
  <si>
    <t>068450.11.01</t>
  </si>
  <si>
    <t>Судебно-мед. экспертиза. Термины..: Сл. / И.В.Буромский - М.:Юр.Норма, НИЦ ИНФРА-М,2023 - 256 с(О)</t>
  </si>
  <si>
    <t>СУДЕБНО-МЕДИЦИНСКАЯ ЭКСПЕРТИЗА. ТЕРМИНЫ И ПОНЯТИЯ</t>
  </si>
  <si>
    <t>Буромский И.В., Клевно В.А., Пашинян Г.А.</t>
  </si>
  <si>
    <t>Словари для юристов-профессионалов</t>
  </si>
  <si>
    <t>978-5-91768-249-5</t>
  </si>
  <si>
    <t>40.03.01, 40.04.01, 31.05.01, 31.05.02, 32.05.01, 31.05.03, 33.05.01, 34.03.01</t>
  </si>
  <si>
    <t>682623.02.01</t>
  </si>
  <si>
    <t>Судебно-экологическая экспертиза: Уч.пос. / Е.И.Майорова-М.:НИЦ ИНФРА-М,2020.-197 с.(ВО: Бакалавр.)(П)</t>
  </si>
  <si>
    <t>СУДЕБНО-ЭКОЛОГИЧЕСКАЯ ЭКСПЕРТИЗА</t>
  </si>
  <si>
    <t>Майорова Е.И.</t>
  </si>
  <si>
    <t>978-5-16-015412-1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</si>
  <si>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19 от 09.12.2019)</t>
  </si>
  <si>
    <t>645480.07.01</t>
  </si>
  <si>
    <t>Судебно-экспертная деят.: правовое...: Уч. / Е.Р.Россинская-М.:Юр.Норма, НИЦ ИНФРА-М,2023.-400 с.(П)</t>
  </si>
  <si>
    <t>СУДЕБНО-ЭКСПЕРТНАЯ ДЕЯТЕЛЬНОСТЬ: ПРАВОВОЕ, ТЕОРЕТИЧЕСКОЕ И ОРГАНИЗАЦИОННОЕ ОБЕСПЕЧЕНИЕ</t>
  </si>
  <si>
    <t>978-5-91768-790-2</t>
  </si>
  <si>
    <t>40.05.04, 40.03.01, 40.04.01, 37.05.01, 40.05.01, 40.05.02, 40.05.03</t>
  </si>
  <si>
    <t>746319.05.01</t>
  </si>
  <si>
    <t>Судебные доктрины в российском праве: теория и практика. / П.П.Серков-М.:Юр.Норма, НИЦ ИНФРА-М,2023-344 с.(П)</t>
  </si>
  <si>
    <t>СУДЕБНЫЕ ДОКТРИНЫ В РОССИЙСКОМ ПРАВЕ: ТЕОРИЯ И ПРАКТИКА</t>
  </si>
  <si>
    <t>Серков П.П., Лазарев В.В., Гаджиев Х. и др.</t>
  </si>
  <si>
    <t>978-5-00156-110-1</t>
  </si>
  <si>
    <t>670760.05.01</t>
  </si>
  <si>
    <t>Судебные системы зарубежных стран: Уч.пос. / А.Т.Гольцов и др.-М.:Юр.Норма, НИЦ ИНФРА-М,2024-160с(П)</t>
  </si>
  <si>
    <t>СУДЕБНЫЕ СИСТЕМЫ ЗАРУБЕЖНЫХ СТРАН</t>
  </si>
  <si>
    <t>Гольцов А.Т., Сушина Т.Е., Осипов А.Л. и др.</t>
  </si>
  <si>
    <t>978-5-91768-871-8</t>
  </si>
  <si>
    <t>141250.08.01</t>
  </si>
  <si>
    <t>Судебный конституционализм:доктрина..: Моногр. / Н.С.Бондарь - 2 изд.-М.:Юр.Норма,НИЦ ИНФРА-М,2023-528с(п)</t>
  </si>
  <si>
    <t>СУДЕБНЫЙ КОНСТИТУЦИОНАЛИЗМ: ДОКТРИНА И ПРАКТИКА, ИЗД.2</t>
  </si>
  <si>
    <t>Бондарь Н. С.</t>
  </si>
  <si>
    <t>978-5-91768-654-7</t>
  </si>
  <si>
    <t>675397.04.01</t>
  </si>
  <si>
    <t>Судебный конституционный нормоконтроль...: Моногр./ Е.В.Тарибо-М.:Юр.Норма, НИЦ ИНФРА-М,2023-256с(П)</t>
  </si>
  <si>
    <t>СУДЕБНЫЙ КОНСТИТУЦИОННЫЙ НОРМОКОНТРОЛЬ: ОСМЫСЛЕНИЕ РОССИЙСКОГО ОПЫТА</t>
  </si>
  <si>
    <t>Тарибо Е.В.</t>
  </si>
  <si>
    <t>978-5-91768-890-9</t>
  </si>
  <si>
    <t>708106.04.01</t>
  </si>
  <si>
    <t>Судейский корпус России: соверш...: Моногр. / М.И.Клеандров - М.:Юр.Норма, НИЦ ИНФРА-М,2023 - 320 с(П)</t>
  </si>
  <si>
    <t>СУДЕЙСКИЙ КОРПУС РОССИИ: СОВЕРШЕНСТВОВАНИЕ МЕХАНИЗМА ФОРМИРОВАНИЯ</t>
  </si>
  <si>
    <t>978-5-91768-692-9</t>
  </si>
  <si>
    <t>275600.05.01</t>
  </si>
  <si>
    <t>Судейское сообщество в России и других гос. СНГ / М.И.Клеандров-М:Юр.Норма, НИЦ ИНФРА-М,2019-256с(П)</t>
  </si>
  <si>
    <t>СУДЕЙСКОЕ СООБЩЕСТВО В РОССИИ И ДРУГИХ ГОСУДАРСТВАХ СНГ</t>
  </si>
  <si>
    <t>Клеандров М. И., Краснов Д. А.</t>
  </si>
  <si>
    <t>978-5-91768-488-8</t>
  </si>
  <si>
    <t>Справочное пособие</t>
  </si>
  <si>
    <t>40.02.01, 40.02.02, 40.03.01, 40.04.01, 40.05.01, 40.05.02, 40.05.03, 38.03.04, 44.03.05</t>
  </si>
  <si>
    <t>266600.07.01</t>
  </si>
  <si>
    <t>Судейское сообщество: структура, организ.-прав...: Моногр./М.И.Клеандров - М:Норма:ИНФРА-М,2023-352с (о)</t>
  </si>
  <si>
    <t>СУДЕЙСКОЕ СООБЩЕСТВО: СТРУКТУРА, ОРГАНИЗАЦИОННО-ПРАВОВОЕ РАЗВИТИЕ</t>
  </si>
  <si>
    <t>Клеандров М. И.</t>
  </si>
  <si>
    <t>978-5-91768-464-2</t>
  </si>
  <si>
    <t>734793.03.01</t>
  </si>
  <si>
    <t>Судоустройство и правоохранит. органы РФ в схемах: Уч.пос. / И.А.Даниленко - М.:Юр.Норма, НИЦ ИНФРА-М,2022-80с(О)</t>
  </si>
  <si>
    <t>СУДОУСТРОЙСТВО И ПРАВООХРАНИТЕЛЬНЫЕ ОРГАНЫ РОССИЙСКОЙ ФЕДЕРАЦИИ В СХЕМАХ</t>
  </si>
  <si>
    <t>Даниленко И.А.</t>
  </si>
  <si>
    <t>978-5-00156-065-4</t>
  </si>
  <si>
    <t>734793.05.01</t>
  </si>
  <si>
    <t>Судоустройство и правоохранит. органы РФ..: Уч.пос. / И.А.Даниленко - М.:Юр.Норма, НИЦ ИНФРА-М,2024-108с(О)</t>
  </si>
  <si>
    <t>СУДОУСТРОЙСТВО И ПРАВООХРАНИТЕЛЬНЫЕ ОРГАНЫ РОССИЙСКОЙ ФЕДЕРАЦИИ В СХЕМАХ, ИЗД.2</t>
  </si>
  <si>
    <t>978-5-00156-289-4</t>
  </si>
  <si>
    <t>724595.04.01</t>
  </si>
  <si>
    <t>Судоустройство и правоохранительные органы / Л.А.Воскобитова-М.:Юр.Норма, НИЦ ИНФРА-М,2023.-80 с.(О)</t>
  </si>
  <si>
    <t>СУДОУСТРОЙСТВО И ПРАВООХРАНИТЕЛЬНЫЕ ОРГАНЫ</t>
  </si>
  <si>
    <t>Воскобитова Л.А., Сушина Т.Е.</t>
  </si>
  <si>
    <t>978-5-00156-035-7</t>
  </si>
  <si>
    <t>40.05.04, 40.02.01, 40.03.01, 40.05.01, 40.05.02, 40.05.03</t>
  </si>
  <si>
    <t>695294.02.01</t>
  </si>
  <si>
    <t>США в новое время: общество, гос. и право: Уч.пос.: Ч.1 / Т.В.Алентьева-М.:НИЦ ИНФРА-М,2022.-235 с.(П)</t>
  </si>
  <si>
    <t>США В НОВОЕ ВРЕМЯ: ОБЩЕСТВО, ГОСУДАРСТВО И ПРАВО: ЧАСТЬ 1: XVII-XVIII ВЕКА</t>
  </si>
  <si>
    <t>Алентьева Т.В., Филимонова М.А.</t>
  </si>
  <si>
    <t>978-5-16-014591-4</t>
  </si>
  <si>
    <t>46.03.01, 40.03.01, 41.03.05, 44.03.01, 44.03.05, 45.03.02, 41.03.01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</si>
  <si>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40.03.01 «Юриспруденция», 41.03.05 «Международные отношения», 46.03.01 «История» (квалификация (степень) «бакалавр») (протокол № 11 от 09.11.2020)</t>
  </si>
  <si>
    <t>Курский государственный университет</t>
  </si>
  <si>
    <t>756767.04.01</t>
  </si>
  <si>
    <t>Тактико-криминалистич. обеспеч. следств. деят.: практ.: Уч.пос. / Е.В.Шишкина-М.:НИЦ ИНФРА-М,2023.-223 с.(ВО)(П)</t>
  </si>
  <si>
    <t>ТАКТИКО-КРИМИНАЛИСТИЧЕСКОЕ ОБЕСПЕЧЕНИЕ СЛЕДСТВЕННОЙ ДЕЯТЕЛЬНОСТИ: ПРАКТИКУМ</t>
  </si>
  <si>
    <t>978-5-16-017034-3</t>
  </si>
  <si>
    <t>40.02.02, 40.03.01, 40.05.01, 40.05.02, 40.05.03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</si>
  <si>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6 от 16.06.2021)</t>
  </si>
  <si>
    <t>753351.03.01</t>
  </si>
  <si>
    <t>Тактико-криминалистическое обеспеч. следств. деят.: Уч.пос./Е.В.Шишкина-М.:НИЦ ИНФРА-М,2023.-199с(ВО)(П)</t>
  </si>
  <si>
    <t>ТАКТИКО-КРИМИНАЛИСТИЧЕСКОЕ ОБЕСПЕЧЕНИЕ СЛЕДСТВЕННОЙ ДЕЯТЕЛЬНОСТИ</t>
  </si>
  <si>
    <t>978-5-16-016857-9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</si>
  <si>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40.05.01 "Правовое обеспечение национальной безопасности", 40.05.04 "Судебная и прокурорская деятельность" (квалификация «юрист») (протокол № 2 от 09.02.2022)</t>
  </si>
  <si>
    <t>202100.07.01</t>
  </si>
  <si>
    <t>Таможенное право: Уч. / В.Г. Свинухов, С.В. Сенотрусова. - М.: Магистр:  НИЦ ИНФРА-М, 2022. - 368 с. (п)</t>
  </si>
  <si>
    <t>ТАМОЖЕННОЕ ПРАВО</t>
  </si>
  <si>
    <t>Свинухов В. Г., Сенотрусова С. В.</t>
  </si>
  <si>
    <t>978-5-9776-0262-4</t>
  </si>
  <si>
    <t>40.03.01, 40.04.01, 40.05.01, 40.05.02, 40.05.03, 38.05.02</t>
  </si>
  <si>
    <t>092700.14.01</t>
  </si>
  <si>
    <t>Таможенное право: Уч.пос. / О.Ю.Бакаева - 3 изд., - М.:Юр.Норма, НИЦ ИНФРА-М,2023 - 592 с.(П)</t>
  </si>
  <si>
    <t>ТАМОЖЕННОЕ ПРАВО, ИЗД.3</t>
  </si>
  <si>
    <t>Бакаева О.Ю., Лайченкова Н.Н., Бакаева О.Ю.</t>
  </si>
  <si>
    <t>978-5-91768-641-7</t>
  </si>
  <si>
    <t>40.05.04, 40.02.01, 40.02.02, 40.03.01, 40.04.01, 40.05.01, 40.05.02, 40.05.03, 38.05.02, 40.02.03</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</si>
  <si>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обучающихсяпо специальности и направлению подготовки «Юриспруденция»</t>
  </si>
  <si>
    <t>092700.08.01</t>
  </si>
  <si>
    <t>Таможенное право: Уч.пос. / Отв.ред. О.Ю.Бакаева и др. - 2 изд. - М.:Юр.Норма,НИЦ ИНФРА-М,2016-512с.(О)</t>
  </si>
  <si>
    <t>ТАМОЖЕННОЕ ПРАВО, ИЗД.2</t>
  </si>
  <si>
    <t>Бакаева О. Ю., Голубь О. В., Коваленко Е. П., Лайченкова Н. Н., Бакаева О. Ю.</t>
  </si>
  <si>
    <t>978-5-91768-245-7</t>
  </si>
  <si>
    <t>299700.07.01</t>
  </si>
  <si>
    <t>Таможенный контроль товаров, содерж....: Моногр. / С.А.Агамагомедова - М.:НИЦ ИНФРА-М,2023 - 160 с.(о)</t>
  </si>
  <si>
    <t>ТАМОЖЕННЫЙ КОНТРОЛЬ ТОВАРОВ, СОДЕРЖАЩИХ ОБЪЕКТЫ ИНТЕЛЛЕКТУАЛЬНОЙ СОБСТВЕННОСТИ</t>
  </si>
  <si>
    <t>Агамагомедова С.А.</t>
  </si>
  <si>
    <t>978-5-16-010146-0</t>
  </si>
  <si>
    <t>40.03.01, 40.04.01, 38.03.01</t>
  </si>
  <si>
    <t>741580.03.01</t>
  </si>
  <si>
    <t>Тематический коммент. к Закону РФ О ПОПРАВКЕ К КОНСТИТУЦИИ.... / Т.Я.Хабриeва — М.: Норма : ИНФРА-М, 2022-240с(П)</t>
  </si>
  <si>
    <t>ТЕМАТИЧЕСКИЙ КОММЕНТАРИЙ К ЗАКОНУ РОССИЙСКОЙ ФЕДЕРАЦИИ О ПОПРАВКЕ К КОНСТИТУЦИИ РОССИЙСКОЙ ФЕДЕРАЦИИ ОТ 14 МАРТА 2020 Г. № 1-ФКЗ</t>
  </si>
  <si>
    <t>Хабриева Т.Я., Клишас А.А.</t>
  </si>
  <si>
    <t>978-5-00156-090-6</t>
  </si>
  <si>
    <t>365700.05.01</t>
  </si>
  <si>
    <t>Тенденции развития контроля за деят...: Моногр. / А.Б.Зеленцов - М.: НИЦ ИНФРА-М, 2023-446с(П)</t>
  </si>
  <si>
    <t>ТЕНДЕНЦИИ РАЗВИТИЯ КОНТРОЛЯ ЗА ДЕЯТЕЛЬНОСТЬЮ ПУБЛИЧНОЙ АДМИНИСТРАЦИИ В ЗАРУБЕЖНЫХ ГОСУДАРСТВАХ</t>
  </si>
  <si>
    <t>Зеленцов А.Б., Лафитский В.И., Тимошенко И.Г. и др.</t>
  </si>
  <si>
    <t>978-5-16-011001-1</t>
  </si>
  <si>
    <t>40.03.01, 40.04.01, 38.04.04, 40.05.02, 40.06.01, 38.03.04, 44.03.05</t>
  </si>
  <si>
    <t>812232.01.01</t>
  </si>
  <si>
    <t>Теоретико-историч. правовые науки в сис. совр. юр. знания/ Т.Ф.Ящук.-М.:Юр. НОРМА, НИЦ ИНФРА-М,2024.-192с(п)</t>
  </si>
  <si>
    <t>ТЕОРЕТИКО-ИСТОРИЧЕСКИЕ ПРАВОВЫЕ НАУКИ В СИСТЕМЕ СОВРЕМЕННОГО ЮРИДИЧЕСКОГО ЗНАНИЯ</t>
  </si>
  <si>
    <t>Ящук Т.Ф., Бироков С.В., Евстратов А.Э. и др.</t>
  </si>
  <si>
    <t>978-5-00156-326-6</t>
  </si>
  <si>
    <t>655194.04.01</t>
  </si>
  <si>
    <t>Теоретико-правовые основы бюджетного устр. гос.: Моногр. / Х.В.Пешкова -М.:НИЦ ИНФРА-М,2023-315с(П)</t>
  </si>
  <si>
    <t>ТЕОРЕТИКО-ПРАВОВЫЕ ОСНОВЫ БЮДЖЕТНОГО УСТРОЙСТВА ГОСУДАРСТВА</t>
  </si>
  <si>
    <t>978-5-16-012952-5</t>
  </si>
  <si>
    <t>147800.09.01</t>
  </si>
  <si>
    <t>Теоретические основы кадастра: Уч.пос. / В.А.Свитин - М.:НИЦ ИНФРА-М,2020 - 256 с.(ВО)(П)</t>
  </si>
  <si>
    <t>ТЕОРЕТИЧЕСКИЕ ОСНОВЫ КАДАСТРА</t>
  </si>
  <si>
    <t>Свитин В. А.</t>
  </si>
  <si>
    <t>978-5-16-009975-0</t>
  </si>
  <si>
    <t>40.05.04, 21.02.10, 40.02.01, 40.02.02, 21.04.02, 40.05.01, 40.05.02, 40.05.03, 21.03.02, 40.02.03</t>
  </si>
  <si>
    <t>Допущено Министерством образования Республики Беларусь в качестве учебного пособия для студентов высших учебных заведений  по специальности «Земельный кадастр»</t>
  </si>
  <si>
    <t>Белорусская государственная сельскохозяйственная академия</t>
  </si>
  <si>
    <t>666518.03.01</t>
  </si>
  <si>
    <t>Теоретические основы соц. права: Моногр./ С.В.Бирюков-М.:НИЦ ИНФРА-М,2021-325с.(Науч.мысль)(П)</t>
  </si>
  <si>
    <t>ТЕОРЕТИЧЕСКИЕ ОСНОВЫ СОЦИОЛОГИИ ПРАВА</t>
  </si>
  <si>
    <t>Бирюков С.В.</t>
  </si>
  <si>
    <t>978-5-16-013141-2</t>
  </si>
  <si>
    <t>650517.08.01</t>
  </si>
  <si>
    <t>Теоретические основы судебной власти: Уч. / Л.А.Воскобитова-М.:Юр.Норма,НИЦ ИНФРА-М,2024.-288 с.(П)</t>
  </si>
  <si>
    <t>ТЕОРЕТИЧЕСКИЕ ОСНОВЫ СУДЕБНОЙ ВЛАСТИ</t>
  </si>
  <si>
    <t>978-5-91768-810-7</t>
  </si>
  <si>
    <t>484750.05.01</t>
  </si>
  <si>
    <t>Теория гос. и права. Практикум: Уч.пос. / В.Я.Любашиц - 3 изд.-М.:ИЦ РИОР, НИЦ ИНФРА-М,2023.-242 с.(П)</t>
  </si>
  <si>
    <t>ТЕОРИЯ ГОСУДАРСТВА И ПРАВА. ПРАКТИКУМ, ИЗД.3</t>
  </si>
  <si>
    <t>В.Я.Любашиц, А.Ю.Мордовцев, А.Ю.Мамычев</t>
  </si>
  <si>
    <t>978-5-369-01437-0</t>
  </si>
  <si>
    <t>40.05.04, 40.02.01, 40.02.02, 40.03.01, 40.05.01, 40.05.02, 40.05.03, 44.03.05, 41.03.01, 41.03.06</t>
  </si>
  <si>
    <t>Допущено УМО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"Юриспруденция» и специальности «Юриспруденция»</t>
  </si>
  <si>
    <t>085620.12.01</t>
  </si>
  <si>
    <t>Теория гос. и права. Элемент. курс: Уч.пос. / М.Н.Марченко - 3 изд. - М.:Юр.Норма,НИЦ ИНФРА-М,2022-304с(П)</t>
  </si>
  <si>
    <t>ТЕОРИЯ ГОСУДАРСТВА И ПРАВА. ЭЛЕМЕНТАРНЫЙ КУРС, ИЗД.3</t>
  </si>
  <si>
    <t>978-5-91768-696-7</t>
  </si>
  <si>
    <t>431050.08.01</t>
  </si>
  <si>
    <t>Теория гос. и права: Уч.пос. / А.В.Малько-3изд.-М.:ИЦ РИОР,НИЦ ИНФРА-М,2024-213с.(ВО:Бакалавр.)(п)</t>
  </si>
  <si>
    <t>ТЕОРИЯ ГОСУДАРСТВА И ПРАВА, ИЗД.3</t>
  </si>
  <si>
    <t>МалькоА.В., СаломатинА.Ю.,</t>
  </si>
  <si>
    <t>978-5-369-01366-3</t>
  </si>
  <si>
    <t>40.02.01, 40.02.02, 40.03.01, 40.04.01, 40.05.01, 40.05.02, 40.05.03, 44.03.05, 41.03.01, 41.03.06</t>
  </si>
  <si>
    <t>Рекомендованно в качестве учебного пособия для студентов высших учебных заведений, обучающихся по направлению "Юриспруденция" (квалификация (степень)- бакалавр)</t>
  </si>
  <si>
    <t>734088.01.01</t>
  </si>
  <si>
    <t>Теория государства и права (компл. из 4-х кн.) / В.Б.Исаков - М.:Юр.Норма, НИЦ ИНФРА-М,2020 - 1864 с.(П)</t>
  </si>
  <si>
    <t>ТЕОРИЯ ГОСУДАРСТВА И ПРАВА</t>
  </si>
  <si>
    <t>377500.05.01</t>
  </si>
  <si>
    <t>Теория государства и права. Практ./Е.В.Сафронова - М.:ИЦ РИОР, НИЦ ИНФРА-М,2023 - 195 с.(ВО:Бакалавриат)(П)</t>
  </si>
  <si>
    <t>ТЕОРИЯ ГОСУДАРСТВА И ПРАВА. ПРАКТИКУМ</t>
  </si>
  <si>
    <t>Е.В.Сафронова, А.Ю.Кузубова, Л.Л.Соловьева</t>
  </si>
  <si>
    <t>978-5-369-01446-2</t>
  </si>
  <si>
    <t>40.05.04, 40.02.01, 40.02.02, 40.03.01, 40.05.01, 40.05.02, 40.05.03, 44.03.05</t>
  </si>
  <si>
    <t>Рекомендовано Научно-исследовательским институтом образования и науки в качестве учебного пособия для студентов высших учебных заведений, обучающихся по направлению подготовки "Юриспруденция'- (квалификация (степень) «бакалавр»)</t>
  </si>
  <si>
    <t>293600.07.01</t>
  </si>
  <si>
    <t>Теория государства и права. Углубл. курс: Уч. / Л.П.Рассказов, - 2 изд.-М.:РИОР, НИЦ ИНФРА-М,2024.-577 с.(П)</t>
  </si>
  <si>
    <t>ТЕОРИЯ ГОСУДАРСТВА И ПРАВА. УГЛУБЛЕННЫЙ КУРС, ИЗД.2</t>
  </si>
  <si>
    <t>978-5-369-01915-3</t>
  </si>
  <si>
    <t>293600.05.01</t>
  </si>
  <si>
    <t>Теория государства и права. Углубленный курс: Уч. / Л.П.Рассказов - М.:РИОР, НИЦ ИНФРА-М,2021 - 560 с.(П)</t>
  </si>
  <si>
    <t>ТЕОРИЯ ГОСУДАРСТВА И ПРАВА. УГЛУБЛЕННЫЙ КУРС</t>
  </si>
  <si>
    <t>РИОР</t>
  </si>
  <si>
    <t>978-5-369-01369-4</t>
  </si>
  <si>
    <t>720665.05.01</t>
  </si>
  <si>
    <t>Теория государства и права: игропрактикум / В.Б.Исаков - М.:Юр.Норма, НИЦ ИНФРА-М,2024 - 544 с.(П)</t>
  </si>
  <si>
    <t>ТЕОРИЯ ГОСУДАРСТВА И ПРАВА: ИГРОПРАКТИКУМ</t>
  </si>
  <si>
    <t>978-5-00156-032-6</t>
  </si>
  <si>
    <t>40.05.04, 40.02.01, 40.02.02, 40.03.01, 40.05.01, 40.05.02, 40.05.03, 41.03.01, 41.03.06, 40.02.03</t>
  </si>
  <si>
    <t>005504.21.01</t>
  </si>
  <si>
    <t>Теория государства и права: курс лекций / Под ред. Матузов Н.И., - 3-е изд.-М.:Юр. НОРМА, НИЦ ИНФРА-М,2023.-640 с.(п)</t>
  </si>
  <si>
    <t>Матузов Н. И., Воротников А. А., Кулапов В. Л., Матузов Н. И., Малько А. В.</t>
  </si>
  <si>
    <t>978-5-91768-271-6</t>
  </si>
  <si>
    <t>40.05.04, 40.03.01, 40.05.01, 40.05.02, 40.05.03, 44.03.05, 41.03.01, 41.03.06</t>
  </si>
  <si>
    <t>Рекомендовано УМО по юридическому образованию высших учебных заведений в качестве учебника для студентов вузов, обучающихся по специальности и направлению подготовки "Юриспруденция"</t>
  </si>
  <si>
    <t>726676.04.01</t>
  </si>
  <si>
    <t>Теория государства и права: Практикум / В.Б.Исаков - М.:Юр.Норма, НИЦ ИНФРА-М,2023 - 488 с.(П)</t>
  </si>
  <si>
    <t>978-5-00156-043-2</t>
  </si>
  <si>
    <t>724597.05.01</t>
  </si>
  <si>
    <t>Теория государства и права: программа курса / В.Б.Исаков - М.:Юр.Норма,НИЦ ИНФРА-М,2024 - 176 с.(П)</t>
  </si>
  <si>
    <t>ТЕОРИЯ ГОСУДАРСТВА И ПРАВА: ПРОГРАММА КУРСА</t>
  </si>
  <si>
    <t>978-5-00156-037-1</t>
  </si>
  <si>
    <t>40.05.04, 40.03.01, 40.05.01, 40.05.02, 40.05.03, 41.03.01, 41.03.06</t>
  </si>
  <si>
    <t>724616.05.01</t>
  </si>
  <si>
    <t>Теория государства и права: Уч. / В.Б.Исаков - М.:Юр.Норма, НИЦ ИНФРА-М,2024 - 656 с.(П)</t>
  </si>
  <si>
    <t>Исаков В.Б. и др.</t>
  </si>
  <si>
    <t>978-5-00156-036-4</t>
  </si>
  <si>
    <t>003533.26.01</t>
  </si>
  <si>
    <t>Теория государства и права: Уч. / В.Д.Перевалов - 5 изд. - М.:Юр.Норма, НИЦ ИНФРА-М,2024-552 с.(П)</t>
  </si>
  <si>
    <t>ТЕОРИЯ ГОСУДАРСТВА И ПРАВА, ИЗД.5</t>
  </si>
  <si>
    <t>Перевалов В.Д., Архипов С.И., Белканов Е.А. и др.</t>
  </si>
  <si>
    <t>978-5-00156-149-1</t>
  </si>
  <si>
    <t>40.05.04, 40.02.01, 40.02.02, 40.03.01, 40.05.01, 40.05.02, 40.05.03, 44.03.05, 41.03.01, 41.03.06, 40.02.03</t>
  </si>
  <si>
    <t>089900.12.01</t>
  </si>
  <si>
    <t>Теория государства и права: Уч. / В.Л.Кулапов - М.:Юр.Норма, НИЦ ИНФРА-М,2023 - 384 с.(П)</t>
  </si>
  <si>
    <t>Кулапов В. Л., Малько А. В.</t>
  </si>
  <si>
    <t>978-5-91768-192-4</t>
  </si>
  <si>
    <t>774605.03.01</t>
  </si>
  <si>
    <t>Теория государства и права: Уч. / Г.С.Працко - М.:ИЦ РИОР, НИЦ ИНФРА-М,2023 - 540 с.(ВО)(П)</t>
  </si>
  <si>
    <t>978-5-369-01899-6</t>
  </si>
  <si>
    <t>40.05.04, 40.02.01, 40.02.02, 40.03.01, 20.03.02, 40.05.01, 40.05.02, 40.05.03, 38.05.01, 44.03.05, 41.03.01, 41.03.02, 41.03.06, 40.02.03</t>
  </si>
  <si>
    <t>732732.03.01</t>
  </si>
  <si>
    <t>Теория государства и права: Уч. / Е.Г.Лукьянова - М.:Юр.Норма, НИЦ ИНФРА-М,2023 - 232 с.(П)</t>
  </si>
  <si>
    <t>978-5-00156-053-1</t>
  </si>
  <si>
    <t>649060.05.01</t>
  </si>
  <si>
    <t>Теория государства и права: Уч. / И.Л.Честнов-М.:НИЦ ИНФРА-М,2023.-233 с.(ВО)(п)</t>
  </si>
  <si>
    <t>978-5-16-018425-8</t>
  </si>
  <si>
    <t>Рекомендовано в качестве учебника для студентов высших учебных заведений, обучающихся по направлениям подготовки 40.03.01 «Юриспруденция» (квалификация (степень) «бакалавр»)</t>
  </si>
  <si>
    <t>085065.21.01</t>
  </si>
  <si>
    <t>Теория государства и права: Уч. / Л.А.Морозова, - 6 изд.-М.:Юр.Норма, НИЦ ИНФРА-М,2021-464с(П)</t>
  </si>
  <si>
    <t>ТЕОРИЯ ГОСУДАРСТВА И ПРАВА, ИЗД.6</t>
  </si>
  <si>
    <t>Морозова Л. А.</t>
  </si>
  <si>
    <t>978-5-91768-844-2</t>
  </si>
  <si>
    <t>0617</t>
  </si>
  <si>
    <t>201600.09.01</t>
  </si>
  <si>
    <t>Теория государства и права: Уч. / М.Б. Смоленский. - М.: НИЦ ИНФРА-М, 2022. - 272 с.(ВО: Бакалавр.) (п)</t>
  </si>
  <si>
    <t>978-5-16-006508-3</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</si>
  <si>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специальности «Юриспруденция»</t>
  </si>
  <si>
    <t>683129.06.01</t>
  </si>
  <si>
    <t>Теория государства и права: Уч. / М.Б.Смоленский - М.:НИЦ ИНФРА-М,2023 - 272 с.-(СПО)(П)</t>
  </si>
  <si>
    <t>978-5-16-014006-3</t>
  </si>
  <si>
    <t>40.02.01, 40.02.02, 40.03.01, 44.03.05, 40.02.03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</si>
  <si>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</si>
  <si>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086550.08.01</t>
  </si>
  <si>
    <t>Теория государства и права: Уч. / Под ред.  А.Г.Хабибулина - М.:ИД ФОРУМ, НИЦ ИНФРА-М,2022 - 512 с.-(ВО)(П)</t>
  </si>
  <si>
    <t>ТЕОРИЯ ГОСУДАРСТВА И ПРАВА, ИЗД.4</t>
  </si>
  <si>
    <t>Мурсалимов К.Р., Хабибулин А.Г.</t>
  </si>
  <si>
    <t>978-5-8199-0562-3</t>
  </si>
  <si>
    <t>088850.14.01</t>
  </si>
  <si>
    <t>Теория государства и права: Уч. для вуз. / Л.П.Рассказов, - 8 изд.-М.:ИЦ РИОР, НИЦ ИНФРА-М,2023.-488 с.(П)</t>
  </si>
  <si>
    <t>ТЕОРИЯ ГОСУДАРСТВА И ПРАВА, ИЗД.8</t>
  </si>
  <si>
    <t>Рассказов Л. П.</t>
  </si>
  <si>
    <t>978-5-369-01914-6</t>
  </si>
  <si>
    <t>0823</t>
  </si>
  <si>
    <t>130150.10.01</t>
  </si>
  <si>
    <t>Теория государства и права: Уч. пос. / Л.П. Рассказов - М.: ИЦ РИОР:  ИНФРА-М, 2023 - 299 с. (ВО) (п)</t>
  </si>
  <si>
    <t>978-5-369-00600-9</t>
  </si>
  <si>
    <t>110850.18.01</t>
  </si>
  <si>
    <t>Теория государства и права: Уч./ А.В. Малько - М.: Норма:  НИЦ ИНФРА-М, 2024. - 432 с. (Ab ovo) (П)</t>
  </si>
  <si>
    <t>Малько А. В., Нырков В. В., Шундиков К. В.</t>
  </si>
  <si>
    <t>978-5-91768-425-3</t>
  </si>
  <si>
    <t>088850.10.01</t>
  </si>
  <si>
    <t>Теория государства и права: Уч./ Л.П.Рассказов, - 7 изд.-М.:ИЦ РИОР, НИЦ ИНФРА-М,2020.-475 с.(ВО)(П)</t>
  </si>
  <si>
    <t>ТЕОРИЯ ГОСУДАРСТВА И ПРАВА, ИЗД.7</t>
  </si>
  <si>
    <t>978-5-369-01494-3</t>
  </si>
  <si>
    <t>646036.04.01</t>
  </si>
  <si>
    <t>Теория государства и права: Уч.пос. / А.А.Акмалова - 2 изд. - М.:НИЦ ИНФРА-М,2023 - 322 с.(П)</t>
  </si>
  <si>
    <t>ТЕОРИЯ ГОСУДАРСТВА И ПРАВА, ИЗД.2</t>
  </si>
  <si>
    <t>978-5-16-018449-4</t>
  </si>
  <si>
    <t>40.05.04, 40.00.00, 40.02.01, 40.02.02, 40.03.01, 40.05.01, 40.05.02, 40.05.03, 44.03.05, 41.03.01, 41.03.06</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</si>
  <si>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41.03.06 «Публичная политика и социальные науки» (квалификация (степень) «бакалавр»)</t>
  </si>
  <si>
    <t>654952.04.01</t>
  </si>
  <si>
    <t>Теория государства и права: Уч.пос. / А.В.Попова - М.:НИЦ ИНФРА-М,2024 - 365 с.-(ВО: Бакалавр.)(П)</t>
  </si>
  <si>
    <t>Попова А.В.</t>
  </si>
  <si>
    <t>978-5-16-014069-8</t>
  </si>
  <si>
    <t>670762.06.01</t>
  </si>
  <si>
    <t>Теория государства и права: Уч.пос. / Н.А.Власенко - 3 изд. - М.:Юр.Норма, НИЦ ИНФРА-М,2023 - 480 с.(П)</t>
  </si>
  <si>
    <t>978-5-91768-869-5</t>
  </si>
  <si>
    <t>084670.15.01</t>
  </si>
  <si>
    <t>Теория государства и права: Уч.пос. / Р.В. Енгибарян - 3 изд. - М.:НОРМА, 2023 - 560 с.(П)</t>
  </si>
  <si>
    <t>Енгибарян Р. В., Краснов Ю. К.</t>
  </si>
  <si>
    <t>978-5-91768-945-6</t>
  </si>
  <si>
    <t>084670.10.01</t>
  </si>
  <si>
    <t>Теория государства и права: Уч.пос. / Р.В.Енгибарян - 2 изд. - М.:Юр.Норма,НИЦ ИНФРА-М,2017 -576с(П)</t>
  </si>
  <si>
    <t>978-5-91768-906-7</t>
  </si>
  <si>
    <t>043690.18.01</t>
  </si>
  <si>
    <t>Теория государства и права: Уч.пос. / Т.А.Клепицкая - 3 изд. - М.:ИЦ РИОР, НИЦ ИНФРА-М,2022 - 126 с.(ВО)(О)</t>
  </si>
  <si>
    <t>Клепицкая Т.А.</t>
  </si>
  <si>
    <t>978-5-369-01664-0</t>
  </si>
  <si>
    <t>061580.14.01</t>
  </si>
  <si>
    <t>Теория государства и права: Шпаргалка - 2 изд. - М.:ИЦ РИОР,2022 - 80 с.(Шпаргалка [отрывная])</t>
  </si>
  <si>
    <t>978-5-369-01469-1</t>
  </si>
  <si>
    <t>40.02.01, 40.02.02, 40.03.01, 40.04.01, 40.05.01, 40.05.02, 40.05.03, 44.03.05</t>
  </si>
  <si>
    <t>326700.04.01</t>
  </si>
  <si>
    <t>Теория государства и права:Уч. пос./ В.Я.Любашиц и др.- 3изд.-М.:ИЦ РИОР, НИЦ ИНФРА-М, 2023.- 526 с.</t>
  </si>
  <si>
    <t>978-5-369-01418-9</t>
  </si>
  <si>
    <t>702822.05.01</t>
  </si>
  <si>
    <t>Теория и методология  юридической науки: Уч.: В 2 ч.Ч.1 / М.Н.Марченко и др.-М:Юр.Норма,,2024-320с(П)</t>
  </si>
  <si>
    <t>ТЕОРИЯ И МЕТОДОЛОГИЯ  ЮРИДИЧЕСКОЙ НАУКИ. В 2 ЧАСТЯХ, Т.2</t>
  </si>
  <si>
    <t>Марченко М.Н., Абросимова Е.А., Полянский П.Л. и др.</t>
  </si>
  <si>
    <t>978-5-91768-561-8</t>
  </si>
  <si>
    <t>705358.04.01</t>
  </si>
  <si>
    <t>Теория и методология юридической науки: Ч.2 / М.Н.Марченко - М.:Юр.Норма, НИЦ ИНФРА-М,2023-288с(П)</t>
  </si>
  <si>
    <t>ТЕОРИЯ И МЕТОДОЛОГИЯ ЮРИДИЧЕСКОЙ НАУКИ, Т.2</t>
  </si>
  <si>
    <t>978-5-91768-638-7</t>
  </si>
  <si>
    <t>773496.02.01</t>
  </si>
  <si>
    <t>Теория и практика возбуж. уголов. дела: Уч.пос. / Л.Н.Масленникова.-М.:Юр. НОРМА, НИЦ ИНФРА-М,2023.-288 с.(П)</t>
  </si>
  <si>
    <t>ТЕОРИЯ И ПРАКТИКА ВОЗБУЖДЕНИЯ УГОЛОВНОГО ДЕЛА</t>
  </si>
  <si>
    <t>978-5-00156-227-6</t>
  </si>
  <si>
    <t>642419.07.01</t>
  </si>
  <si>
    <t>Теория и практика консультирования: Уч.пос. / С.Ю.Макаров - М.:Юр.Норма, НИЦ ИНФРА-М,2023 - 112с.(О)</t>
  </si>
  <si>
    <t>ТЕОРИЯ И ПРАКТИКА КОНСУЛЬТИРОВАНИЯ</t>
  </si>
  <si>
    <t>Макаров С.Ю.</t>
  </si>
  <si>
    <t>978-5-91768-780-3</t>
  </si>
  <si>
    <t>070650.10.01</t>
  </si>
  <si>
    <t>Теория опер.- розыск. деят.: Крат.уч.курс / Под ред.Горяинова К.К. - 5 изд.-М:Норма,НИЦ ИНФРА-М,2023-352(О)</t>
  </si>
  <si>
    <t>ТЕОРИЯ ОПЕРАТИВНО-РОЗЫСКНОЙ ДЕЯТЕЛЬНОСТИ, ИЗД.5</t>
  </si>
  <si>
    <t>Овчинский В.С., Горяинов К.К., Синилов Г.К.</t>
  </si>
  <si>
    <t>978-5-00156-183-5</t>
  </si>
  <si>
    <t>070650.07.01</t>
  </si>
  <si>
    <t>Теория опер.-розыск.деят.:Крат.уч.курс/Под ред.Горяинова К.К.-4 изд.-М:Норма,НИЦ ИНФРА-М,2020-384(О)</t>
  </si>
  <si>
    <t>ТЕОРИЯ ОПЕРАТИВНО-РОЗЫСКНОЙ ДЕЯТЕЛЬНОСТИ, ИЗД.4</t>
  </si>
  <si>
    <t>Горяинов К.К., Овчинский В.С., Синилов Г.К.</t>
  </si>
  <si>
    <t>978-5-91768-809-1</t>
  </si>
  <si>
    <t>071200.14.01</t>
  </si>
  <si>
    <t>Теория оперативно-розыск. деят.: Уч. / Под ред. Горяинова К.К. - 4 изд.-М.:НИЦ ИНФРА-М,2020-772с(ВО)(П)</t>
  </si>
  <si>
    <t>Вагин О.А., Горяинов К.К., Земскова А.В. и др.</t>
  </si>
  <si>
    <t>978-5-16-012949-5</t>
  </si>
  <si>
    <t>745636.03.01</t>
  </si>
  <si>
    <t>Теория оперативно-розыск. деят.: Уч. / Под ред. Горяинова К.К. -4 изд. - М.:НИЦ ИНФРА-М,2022 - 772 с.(П)</t>
  </si>
  <si>
    <t>978-5-16-016532-5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</si>
  <si>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40.05.00 «Юриспруденция» (протокол № 8 от 22.06.2020)</t>
  </si>
  <si>
    <t>35</t>
  </si>
  <si>
    <t>071200.10.01</t>
  </si>
  <si>
    <t>Теория оперативно-розыск. деят.: Уч. / Под ред. Горяинова К.К., 3 изд.-М.:НИЦ ИНФРА-М,2017-712с.(ВО)</t>
  </si>
  <si>
    <t>ТЕОРИЯ ОПЕРАТИВНО-РОЗЫСКНОЙ ДЕЯТЕЛЬНОСТИ, ИЗД.3</t>
  </si>
  <si>
    <t>978-5-16-006780-3</t>
  </si>
  <si>
    <t>Рекомендовано в качестве учебника для студентов высших учебных заведений, обучающихся по направлению 40.03.01 «Юриспруденция» (квалификация (степень) «бакалавр»)</t>
  </si>
  <si>
    <t>745636.04.01</t>
  </si>
  <si>
    <t>Теория оперативно-розыскной деят.: Уч. / Под ред. Горяинова К.К. - 5 изд. - М.:НИЦ ИНФРА-М,2023.-795 с.(ВО)(П)</t>
  </si>
  <si>
    <t>978-5-16-018048-9</t>
  </si>
  <si>
    <t>071200.20.01</t>
  </si>
  <si>
    <t>Теория оперативно-розыскной деят.: Уч. / Под ред. Горяинова К.К. - 5 изд. - М.:НИЦ ИНФРА-М,2023.-795 с.(ВО:Бак.)(П)</t>
  </si>
  <si>
    <t>978-5-16-016621-6</t>
  </si>
  <si>
    <t>150250.11.01</t>
  </si>
  <si>
    <t>Теория права и государства..: Уч.пос. / Е.Г.Лукьянова-М.:Юр. НОРМА, НИЦ ИНФРА-М,2024.-208 с.(п)</t>
  </si>
  <si>
    <t>ТЕОРИЯ ПРАВА И ГОСУДАРСТВА. ВВЕДЕНИЕ В ЕСТЕСТВЕННО-ПРАВОВОЙ КУРС</t>
  </si>
  <si>
    <t>Лукьянова Е. Г.</t>
  </si>
  <si>
    <t>978-5-91768-163-4</t>
  </si>
  <si>
    <t>027480.17.01</t>
  </si>
  <si>
    <t>Теория права и государства: Краткий учебный курс / В.С.Нерсесянц-М.:НОРМА, ИНФРА-М,2024.-272 с.(о)</t>
  </si>
  <si>
    <t>ТЕОРИЯ ПРАВА И ГОСУДАРСТВА</t>
  </si>
  <si>
    <t>978-5-89123-489-5</t>
  </si>
  <si>
    <t>0101</t>
  </si>
  <si>
    <t>109800.15.01</t>
  </si>
  <si>
    <t>Теория суд. эксперт. (Суд.экспертолог.): Уч. /Е.Р.Россинская -2 изд. -М.:Юр.Норма, НИЦ ИНФРА-М, 2023 -368с (П)</t>
  </si>
  <si>
    <t>ТЕОРИЯ СУДЕБНОЙ ЭКСПЕРТИЗЫ (СУДЕБНАЯ ЭКСПЕРТОЛОГИЯ), ИЗД.2</t>
  </si>
  <si>
    <t>РоссинскаяЕ.Р., ГаляшинаЕ.И., ЗининА.М. и др.</t>
  </si>
  <si>
    <t>978-5-91768-716-2</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</si>
  <si>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</si>
  <si>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648467.04.01</t>
  </si>
  <si>
    <t>Теория судебного права и орг. судеб. сис.: Уч. / Под ред. Клишаса А.А.-М.:НИЦ ИНФРА-М,2022-312с(ВО)(П)</t>
  </si>
  <si>
    <t>ТЕОРИЯ СУДЕБНОГО ПРАВА И ОРГАНИЗАЦИИ СУДЕБНЫХ СИСТЕМ</t>
  </si>
  <si>
    <t>Клишас А.А., Гребенников В.В., Грудцына Л.Ю. и др.</t>
  </si>
  <si>
    <t>978-5-16-012737-8</t>
  </si>
  <si>
    <t>40.05.04, 40.02.01, 40.02.02, 40.03.01, 40.05.01, 40.05.02, 40.05.03, 44.03.05, 41.03.06, 40.02.03</t>
  </si>
  <si>
    <t>733406.01.01</t>
  </si>
  <si>
    <t>Территориальная орг. местного самоуправ. в РФ (1990-2018 г.): Моногр. / А.Н.Дементьев-М.:Юр.Норма,2020.-230 с.(П)</t>
  </si>
  <si>
    <t>ТЕРРИТОРИАЛЬНАЯ ОРГАНИЗАЦИЯ МЕСТНОГО САМОУПРАВЛЕНИЯ В РОССИЙСКОЙ ФЕДЕРАЦИИ (1990-2018 ГОДЫ)</t>
  </si>
  <si>
    <t>Дементьев А.Н.</t>
  </si>
  <si>
    <t>978-5-00156-058-6</t>
  </si>
  <si>
    <t>38.04.04</t>
  </si>
  <si>
    <t>753311.01.01</t>
  </si>
  <si>
    <t>Территориальная орг. местного самоуправ. в РФ: тенденции...: Моногр./ Дементьев И.В.- М.:Юр.Норма,2021.-352 с.(П)</t>
  </si>
  <si>
    <t>ТЕРРИТОРИАЛЬНАЯ ОРГАНИЗАЦИЯ МЕСТНОГО САМОУПРАВЛЕНИЯ В РФ: ТЕНДЕНЦИИ, КРИТЕРИИ, ПЕРСПЕКТИВЫ</t>
  </si>
  <si>
    <t>Дементьев А.Н., Дементьева О.А., Бондарь В.Н.</t>
  </si>
  <si>
    <t>978-5-00156-156-9</t>
  </si>
  <si>
    <t>40.03.01, 40.04.01, 38.04.04, 38.06.01, 40.06.01</t>
  </si>
  <si>
    <t>645473.06.01</t>
  </si>
  <si>
    <t>Территориальная орг.гос.власти и местного..: Уч. / С.В.Нарутто-2 изд-М.:Юр.Норма, НИЦ ИНФРА-М,2024-400с.(п)</t>
  </si>
  <si>
    <t>ТЕРРИТОРИАЛЬНАЯ ОРГАНИЗАЦИЯ ГОСУДАРСТВЕННОЙ ВЛАСТИ И МЕСТНОГО САМОУПРАВЛЕНИЯ, ИЗД.2</t>
  </si>
  <si>
    <t>Нарутто С.В., Шугрина Е.С.</t>
  </si>
  <si>
    <t>978-5-00156-336-5</t>
  </si>
  <si>
    <t>40.05.04, 40.03.01, 40.04.01, 38.04.04, 40.05.01, 40.05.02, 40.05.03, 44.03.05</t>
  </si>
  <si>
    <t>645473.04.01</t>
  </si>
  <si>
    <t>Территориальная орг.гос.власти и местного.: Уч. / С.В.Нарутто-М.:Юр.Норма, НИЦ ИНФРА-М,2019-272с.(П)</t>
  </si>
  <si>
    <t>ТЕРРИТОРИАЛЬНАЯ ОРГАНИЗАЦИЯ ГОСУДАРСТВЕННОЙ ВЛАСТИ И МЕСТНОГО САМОУПРАВЛЕНИЯ</t>
  </si>
  <si>
    <t>978-5-91768-784-1</t>
  </si>
  <si>
    <t>654635.04.01</t>
  </si>
  <si>
    <t>Территориальная организация публич.власти: Моногр./ В.Е.Чиркин-М.:Юр.Норма, НИЦ ИНФРА-М,2023-208с(П)</t>
  </si>
  <si>
    <t>ТЕРРИТОРИАЛЬНАЯ ОРГАНИЗАЦИЯ ПУБЛИЧНОЙ ВЛАСТИ</t>
  </si>
  <si>
    <t>978-5-91768-827-5</t>
  </si>
  <si>
    <t>686276.02.01</t>
  </si>
  <si>
    <t>Территориальные автономии в зарубеж. унитарных и регион... / И.В.Ирхин - М.:ИНФРА-М,2022 - 465 с.(П)</t>
  </si>
  <si>
    <t>ТЕРРИТОРИАЛЬНЫЕ АВТОНОМИИ В ЗАРУБЕЖНЫХ УНИТАРНЫХ И РЕГИОНАЛИСТСКИХ ГОСУДАРСТВАХ ЕВРОПЫ И АЗИИ (КОНСТИТУЦИОННО-ПРАВОВОЕ ИССЛЕДОВАНИЕ)</t>
  </si>
  <si>
    <t>Ирхин И.В.</t>
  </si>
  <si>
    <t>978-5-16-014270-8</t>
  </si>
  <si>
    <t>40.03.01, 40.04.01, 38.03.04, 44.03.05, 41.03.01</t>
  </si>
  <si>
    <t>181150.05.01</t>
  </si>
  <si>
    <t>Территориальный фактор предмет..: Моногр. / Г.С.Кириенко - М.:НИЦ ИНФРА-М,2023-199с.(Науч. мысль)(о)</t>
  </si>
  <si>
    <t>ТЕРРИТОРИАЛЬНЫЙ ФАКТОР ПРЕДМЕТОВЕДЧЕСКОЙ ДИФФЕРЕНЦИАЦИИ: КОНСТИТУЦИОННО-ПРАВОВЫЕ ВОЗМОЖНОСТИ И ОПЫТ ИХ РЕАЛИЗАЦИИ СУБЪЕКТАМИ РОССИЙСКОЙ ФЕДЕРАЦИИ</t>
  </si>
  <si>
    <t>Кириенко Г. С., Нифанов А. Н.</t>
  </si>
  <si>
    <t>978-5-16-005605-0</t>
  </si>
  <si>
    <t>699758.03.01</t>
  </si>
  <si>
    <t>Территории с особым статусом в составе федерат. государств...: Моногр. / И.В.Ирхин-М.:НИЦ ИНФРА-М,2022.-217с.(П)</t>
  </si>
  <si>
    <t>ТЕРРИТОРИИ С ОСОБЫМ СТАТУСОМ В СОСТАВЕ ФЕДЕРАТИВНЫХ ГОСУДАРСТВ (КОНСТИТУЦИОННО-ПРАВОВОЕ ИССЛЕДОВАНИЕ)</t>
  </si>
  <si>
    <t>978-5-16-014754-3</t>
  </si>
  <si>
    <t>182500.12.01</t>
  </si>
  <si>
    <t>Терроризм: История и современность. Социально-психологич. исслед. / К.Г.Горбунов -М.:Форум,2023-400с (п)</t>
  </si>
  <si>
    <t>ТЕРРОРИЗМ: ИСТОРИЯ И СОВРЕМЕННОСТЬ. СОЦИАЛЬНО-ПСИХОЛОГИЧЕСКОЕ ИССЛЕДОВАНИЕ</t>
  </si>
  <si>
    <t>Горбунов К. Г.</t>
  </si>
  <si>
    <t>978-5-91134-582-2</t>
  </si>
  <si>
    <t>37.03.01, 40.03.01, 37.04.01, 40.04.01, 39.04.01, 40.05.01, 39.03.01</t>
  </si>
  <si>
    <t>675837.06.01</t>
  </si>
  <si>
    <t>Технико-криминалист.экспертиза док.: Уч.пос. / И.Н.Подволоцкий-М.:Юр.Норма, НИЦ ИНФРА-М,2022-400с(П)</t>
  </si>
  <si>
    <t>ТЕХНИКО-КРИМИНАЛИСТИЧЕСКАЯ ЭКСПЕРТИЗА ДОКУМЕНТОВ</t>
  </si>
  <si>
    <t>978-5-91768-893-0</t>
  </si>
  <si>
    <t>40.05.04, 40.02.01, 40.02.02, 40.05.01, 40.05.02, 40.05.03, 40.02.03</t>
  </si>
  <si>
    <t>653225.06.01</t>
  </si>
  <si>
    <t>Техническая инвентаризация объектов недвижимости: Уч.пос./ В.А.Тарбаев -М.:НИЦ ИНФРА-М,2022-170 с.(ВО)(П)</t>
  </si>
  <si>
    <t>ТЕХНИЧЕСКАЯ ИНВЕНТАРИЗАЦИЯ ОБЪЕКТОВ НЕДВИЖИМОСТИ</t>
  </si>
  <si>
    <t>Тарбаев В.А., Шмидт И.В., Царенко А.А.</t>
  </si>
  <si>
    <t>978-5-16-013695-0</t>
  </si>
  <si>
    <t>40.05.04, 21.04.02, 40.05.01, 40.05.02, 40.05.03, 35.03.04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</si>
  <si>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</si>
  <si>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Саратовский государственный университет генетики, биотехнологии и инженерии имени Н.И. Вавилова</t>
  </si>
  <si>
    <t>269900.06.01</t>
  </si>
  <si>
    <t>Технопарки в инфрастр.инновац.развития: Моногр. / Л.К.Терещенко-М.:НИЦ ИНФРА-М,ИЗиСП,2022-246(ИЗиСП)(о)</t>
  </si>
  <si>
    <t>ТЕХНОПАРКИ В ИНФРАСТРУКТУРЕ ИННОВАЦИОННОГО РАЗВИТИЯ</t>
  </si>
  <si>
    <t>Терещенко Л.К., Лафитский В.И., Терещенко Л.К. и др.</t>
  </si>
  <si>
    <t>978-5-16-010790-5</t>
  </si>
  <si>
    <t>442350.06.01</t>
  </si>
  <si>
    <t>Толкование гражданско-правового договора: Моногр./Н.В.Степанюк-М:НИЦ ИНФРА-М,2022-136с-(Науч.мысль)</t>
  </si>
  <si>
    <t>ТОЛКОВАНИЕ ГРАЖДАНСКО-ПРАВОВОГО ДОГОВОРА: ПРОБЛЕМЫ ТЕОРИИ И ПРАКТИКИ</t>
  </si>
  <si>
    <t>Степанюк Н.В.</t>
  </si>
  <si>
    <t>978-5-16-006827-5</t>
  </si>
  <si>
    <t>658858.03.01</t>
  </si>
  <si>
    <t>Транспортные  профсоюзы как составная часть международ.../ С.А.Зубков-М.:НИЦ ИНФРА-М,2023.-297с(П)</t>
  </si>
  <si>
    <t>ТРАНСПОРТНЫЕ  ПРОФСОЮЗЫ КАК СОСТАВНАЯ ЧАСТЬ МЕЖДУНАРОДНОГО ПРОФСОЮЗНОГО ДВИЖЕНИЯ</t>
  </si>
  <si>
    <t>Зубков С.А., Крайнов Г.Н.</t>
  </si>
  <si>
    <t>978-5-16-011990-8</t>
  </si>
  <si>
    <t>38.04.03, 38.03.03</t>
  </si>
  <si>
    <t>684034.05.01</t>
  </si>
  <si>
    <t>Трансформация прав чел. в соврем. мире: Моногр. / Н.В.Колотова -М.:Юр.Норма, НИЦ ИНФРА-М,2023-256 с.(П)</t>
  </si>
  <si>
    <t>ТРАНСФОРМАЦИЯ ПРАВ ЧЕЛОВЕКА В СОВРЕМЕННОМ МИРЕ</t>
  </si>
  <si>
    <t>Колотова Н.В., Сырых В.М., Сюкияйнен Л.Р. и др.</t>
  </si>
  <si>
    <t>978-5-91768-933-3</t>
  </si>
  <si>
    <t>424200.03.01</t>
  </si>
  <si>
    <t>Трудовое право России: Уч.пос. / Под ред. Чеканова В.Е.-М.:ИЦ РИОР, НИЦ ИНФРА-М,2017.-254 с..(ВО)(П)</t>
  </si>
  <si>
    <t>ТРУДОВОЕ ПРАВО РОССИИ</t>
  </si>
  <si>
    <t>Городилина И.А., Чеканов В.Е.</t>
  </si>
  <si>
    <t>978-5-369-01093-8</t>
  </si>
  <si>
    <t>40.05.04, 40.02.01, 40.02.02, 46.03.02, 40.03.01, 40.04.01, 40.05.01, 40.05.02, 40.05.03, 38.03.01, 44.03.05, 40.02.03</t>
  </si>
  <si>
    <t>424200.05.01</t>
  </si>
  <si>
    <t>Трудовое право России:Уч.пос. / И.А.Шувалова, - 2-е изд.-М.:ИЦ РИОР, НИЦ ИНФРА-М,2018.-251 с..-(ВО: Бакалавриат)(П 7БЦ)</t>
  </si>
  <si>
    <t>ТРУДОВОЕ ПРАВО РОССИИ, ИЗД.2</t>
  </si>
  <si>
    <t>978-5-369-01704-3</t>
  </si>
  <si>
    <t>768622.03.01</t>
  </si>
  <si>
    <t>Трудовое право: нац. и международное измерение: Моногр.: Т. 1 / Н.Л.Лютов-М.:Юр.Норма,2024.-608.(П)</t>
  </si>
  <si>
    <t>ТРУДОВОЕ ПРАВО: НАЦИОНАЛЬНОЕ И МЕЖДУНАРОДНОЕ ИЗМЕРЕНИЕ, Т.1</t>
  </si>
  <si>
    <t>Лютов Н.Л., Бобков В.Н., Волк Е.А. и др.</t>
  </si>
  <si>
    <t>978-5-00156-211-5</t>
  </si>
  <si>
    <t>774777.01.01</t>
  </si>
  <si>
    <t>Трудовое право: национальное и межд. измерение: Т.2: Моногр. / С.Ю.Головина - М.:Юр. НОРМА,2022-568 с.(П)</t>
  </si>
  <si>
    <t>ТРУДОВОЕ ПРАВО: НАЦИОНАЛЬНОЕ И МЕЖДУНАРОДНОЕ ИЗМЕРЕНИЕ, Т.2</t>
  </si>
  <si>
    <t>Головина С.Ю., Лютов Н.Л., Бережнов А.А. и др.</t>
  </si>
  <si>
    <t>978-5-00156-228-3</t>
  </si>
  <si>
    <t>40.05.04, 40.03.01, 40.04.01, 38.04.01, 40.05.01, 40.05.02, 40.05.03</t>
  </si>
  <si>
    <t>795335.01.01</t>
  </si>
  <si>
    <t>Трудовое право: Уч. / А.Я.Петров-М.:Юр. НОРМА, НИЦ ИНФРА-М,2023.-776 с.(п)</t>
  </si>
  <si>
    <t>ТРУДОВОЕ ПРАВО</t>
  </si>
  <si>
    <t>Петров А.Я.</t>
  </si>
  <si>
    <t>978-5-00156-279-5</t>
  </si>
  <si>
    <t>163500.06.01</t>
  </si>
  <si>
    <t>Трудовое право: Уч. / В.М.Лебедев и др. - 2 изд. - М.:Юр.Норма, НИЦ ИНФРА-М,2020 - 368 с.(П)</t>
  </si>
  <si>
    <t>ТРУДОВОЕ ПРАВО, ИЗД.2</t>
  </si>
  <si>
    <t>Лебедев В.М., Белинин А.А., Воронкова Е.Р. и др.</t>
  </si>
  <si>
    <t>978-5-91768-923-4</t>
  </si>
  <si>
    <t>Допущено Учебно-методическим советом по образованию в области юриспруденции Сибирского федерального округа в качестве учебника для студ. вузов, обучающихся по напр. 030500 и спец. 030501 "Юриспруденция", а также по напр. 030900 "Юриспруденция"</t>
  </si>
  <si>
    <t>163500.12.01</t>
  </si>
  <si>
    <t>Трудовое право: Уч. / В.М.Лебедев и др. - 3 изд. - М.:Юр.Норма, НИЦ ИНФРА-М,2023 - 376 с.(П)</t>
  </si>
  <si>
    <t>ТРУДОВОЕ ПРАВО, ИЗД.3</t>
  </si>
  <si>
    <t>978-5-00156-222-1</t>
  </si>
  <si>
    <t>163500.03.01</t>
  </si>
  <si>
    <t>Трудовое право: Уч. / В.М.Лебедев и др. - М.:Юр.Норма, НИЦ ИНФРА-М,2015. - 464 с.</t>
  </si>
  <si>
    <t>Лебедев В.М., Агашев Д.В., Белинин А.А. и др.</t>
  </si>
  <si>
    <t>978-5-91768-219-8</t>
  </si>
  <si>
    <t>Допущено Учебно-методическим советом по образованию в области юриспруденции Сибирского федерального округа в качестве учебника для студентов высших учебных заведений, обучающихся по направлению 030500 и специальности 030501 «Юриспруденция», а также по направлению 030900 «Юриспруденция»</t>
  </si>
  <si>
    <t>776140.01.01</t>
  </si>
  <si>
    <t>Трудовое право: Уч. / Д.Р.Акопов-М.:НИЦ ИНФРА-М,2023.-331 с.(СПО)(п)</t>
  </si>
  <si>
    <t>Акопов Д.Р., Губенко М.И., Еремина С.Н. и др.</t>
  </si>
  <si>
    <t>978-5-16-018061-8</t>
  </si>
  <si>
    <t>24.02.01, 40.02.01, 40.02.02, 40.02.03</t>
  </si>
  <si>
    <t>704238.03.01</t>
  </si>
  <si>
    <t>Трудовое право: Уч.пос. / А.В.Карпова - М.:НИЦ ИНФРА-М,2023 - 316 с.(СПО)(П)</t>
  </si>
  <si>
    <t>978-5-16-015455-8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</si>
  <si>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 от 20.01.2020)</t>
  </si>
  <si>
    <t>437650.04.01</t>
  </si>
  <si>
    <t>Трудовое право: Уч.пос. / Е.В.Магницкая и др., - 2 изд.,-М.:НИЦ ИНФРА-М,2016-312с.(ВО:Бакалавр.)(П)</t>
  </si>
  <si>
    <t>Магницкая Е.В., Евстигнеев Е.Н., Викторова Н.Г.</t>
  </si>
  <si>
    <t>978-5-16-010671-7</t>
  </si>
  <si>
    <t>40.03.01, 40.05.01, 40.05.02, 40.05.03, 38.03.01, 38.03.02, 38.03.03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</si>
  <si>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 «ба</t>
  </si>
  <si>
    <t>666946.07.01</t>
  </si>
  <si>
    <t>Трудовое право:опыт сравнительного исслед.: Моногр. / Лебедев В.М. - М.:Юр.Норма,НИЦ ИНФРА-М,2023-480(П)</t>
  </si>
  <si>
    <t>ТРУДОВОЕ ПРАВО: ОПЫТ СРАВНИТЕЛЬНОГО ИССЛЕДОВАНИЯ</t>
  </si>
  <si>
    <t>Лебедев В.М., Мельникова В.Г., Назметдинов Р.Р.</t>
  </si>
  <si>
    <t>978-5-91768-867-1</t>
  </si>
  <si>
    <t>647453.05.01</t>
  </si>
  <si>
    <t>Трудовые права работников: Науч.-практ. пос. / И.А.Шувалова - 2 изд.-М.:НИЦ ИНФРА-М,2022.-195 с.(О)</t>
  </si>
  <si>
    <t>ТРУДОВЫЕ ПРАВА РАБОТНИКОВ, ИЗД.2</t>
  </si>
  <si>
    <t>978-5-16-017383-2</t>
  </si>
  <si>
    <t>40.02.01, 40.02.02, 46.03.02, 40.03.01, 42.03.01, 40.04.01, 39.04.01, 38.04.01, 38.04.03, 38.03.01, 38.03.04, 38.03.03, 44.03.05, 41.03.06</t>
  </si>
  <si>
    <t>647453.04.01</t>
  </si>
  <si>
    <t>Трудовые права работников: Науч.-практ. пос. / И.А.Шувалова-М.:НИЦ ИНФРА-М,2021.-190 с.(О)</t>
  </si>
  <si>
    <t>ТРУДОВЫЕ ПРАВА РАБОТНИКОВ</t>
  </si>
  <si>
    <t>978-5-16-012753-8</t>
  </si>
  <si>
    <t>230500.06.01</t>
  </si>
  <si>
    <t>Убийства при привилегирующих обстоятельствах и иные..: Моногр. / Н.А.Бабий - ИНФРА-М, 2020 250 с. (О)</t>
  </si>
  <si>
    <t>УБИЙСТВА ПРИ ПРИВИЛЕГИРУЮЩИХ ОБСТОЯТЕЛЬСТВАХ И ИНЫЕ ПРЕСТУПЛЕНИЯ ПРОТИВ ЖИЗНИ</t>
  </si>
  <si>
    <t>978-5-16-009060-3</t>
  </si>
  <si>
    <t>794584.02.01</t>
  </si>
  <si>
    <t>Уголовная ответств. за неправомер. воздействие...: Моногр. / И.И.Малыгин-М.:НИЦ ИНФРА-М,2023.-164 с.(о)</t>
  </si>
  <si>
    <t>УГОЛОВНАЯ ОТВЕТСТВЕННОСТЬ ЗА НЕПРАВОМЕРНОЕ ВОЗДЕЙСТВИЕ НА КРИТИЧЕСКУЮ ИНФОРМАЦИОННУЮ ИНФРАСТРУКТУРУ</t>
  </si>
  <si>
    <t>Малыгин И.И.</t>
  </si>
  <si>
    <t>978-5-16-018197-4</t>
  </si>
  <si>
    <t>40.05.04, 40.04.01, 10.05.04, 40.05.01, 40.05.02, 38.05.01, 40.06.01</t>
  </si>
  <si>
    <t>Департамент государственной службы и кадров Министерства юстиции Российской Федерации</t>
  </si>
  <si>
    <t>256400.05.01</t>
  </si>
  <si>
    <t>Уголовная ответственность за убийство: Моногр. / В.В.Ткаченко-М:НИЦ ИНФРА-М,2020-144с(Науч.мысль)(О)</t>
  </si>
  <si>
    <t>УГОЛОВНАЯ ОТВЕТСТВЕННОСТЬ ЗА УБИЙСТВО</t>
  </si>
  <si>
    <t>Ткаченко В. В., Ткаченко С. В.</t>
  </si>
  <si>
    <t>978-5-16-009464-9</t>
  </si>
  <si>
    <t>061610.08.01</t>
  </si>
  <si>
    <t>Уголовная социология: Моногр. / Э.Ферри-М.:ИНФРА-М Издательский Дом,2023.-658 с.(Б-ка криминолога)(П)</t>
  </si>
  <si>
    <t>УГОЛОВНАЯ СОЦИОЛОГИЯ</t>
  </si>
  <si>
    <t>Ферри Э., Овчинский В. С.</t>
  </si>
  <si>
    <t>5-16-002315-1</t>
  </si>
  <si>
    <t>694924.07.01</t>
  </si>
  <si>
    <t>Уголовное право и "цифр. преступ.": пробл....: Моногр. / Е.А.Русскевич - 2 изд.- М.:НИЦ ИНФРА-М,2023 -351с(П)</t>
  </si>
  <si>
    <t>УГОЛОВНОЕ ПРАВО И "ЦИФРОВАЯ ПРЕСТУПНОСТЬ": ПРОБЛЕМЫ И РЕШЕНИЯ, ИЗД.2</t>
  </si>
  <si>
    <t>Русскевич Е.А.</t>
  </si>
  <si>
    <t>978-5-16-017297-2</t>
  </si>
  <si>
    <t>694924.05.01</t>
  </si>
  <si>
    <t>Уголовное право и "цифр. преступ.": проблемы...: Моногр. / Е.А.Русскевич - М.:НИЦ ИНФРА-М,2022 -227с(о)</t>
  </si>
  <si>
    <t>УГОЛОВНОЕ ПРАВО И "ЦИФРОВАЯ ПРЕСТУПНОСТЬ": ПРОБЛЕМЫ И РЕШЕНИЯ</t>
  </si>
  <si>
    <t>978-5-16-016794-7</t>
  </si>
  <si>
    <t>090300.08.01</t>
  </si>
  <si>
    <t>Уголовное право России. Общ. и Особ. ч.: Уч. / В.К.Дуюнов - 5 изд. - РИОР:ИНФРА-М, 2017-695с.(ВО)</t>
  </si>
  <si>
    <t>УГОЛОВНОЕ ПРАВО РОССИИ. ОБЩАЯ И ОСОБЕННАЯ ЧАСТИ, ИЗД.5</t>
  </si>
  <si>
    <t>Дуюнов В.К., Галактионов С.А., Агапов П.В. и др.</t>
  </si>
  <si>
    <t>978-5-369-01584-1</t>
  </si>
  <si>
    <t>090300.14.01</t>
  </si>
  <si>
    <t>Уголовное право России. Общ. и Особ. ч.: Уч. / В.К.Дуюнов - 6 изд. -М.:РИОР:ИНФРА-М,2023-780с(ВО)(П)</t>
  </si>
  <si>
    <t>УГОЛОВНОЕ ПРАВО РОССИИ. ОБЩАЯ И ОСОБЕННАЯ ЧАСТИ, ИЗД.6</t>
  </si>
  <si>
    <t>Дуюнов В.К.</t>
  </si>
  <si>
    <t>978-5-369-01807-1</t>
  </si>
  <si>
    <t>768939.01.01</t>
  </si>
  <si>
    <t>Уголовное право России. Общая и Особ. части: Уч. / В.К.Дуюнов-М.:ИЦ РИОР, НИЦ ИНФРА-М,2023.-700 с.(СПО)(П)</t>
  </si>
  <si>
    <t>УГОЛОВНОЕ ПРАВО РОССИИ. ОБЩАЯ И ОСОБЕННАЯ ЧАСТИ</t>
  </si>
  <si>
    <t>978-5-369-01902-3</t>
  </si>
  <si>
    <t>413600.05.01</t>
  </si>
  <si>
    <t>Уголовное право РФ. Общая ч.: Уч. / Под ред. Иногамовой-Хегай Л.В. - 2 изд.-М.:НИЦ ИНФРА-М,2016-336с</t>
  </si>
  <si>
    <t>УГОЛОВНОЕ ПРАВО РОССИЙСКОЙ ФЕДЕРАЦИИ. ОБЩАЯ ЧАСТЬ, ИЗД.2</t>
  </si>
  <si>
    <t>Иногамова-Хегай Л. В.</t>
  </si>
  <si>
    <t>978-5-16-009177-8</t>
  </si>
  <si>
    <t>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</si>
  <si>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413600.10.01</t>
  </si>
  <si>
    <t>Уголовное право РФ. Общая часть: Уч. / Иногамова-Хегай Л.В. - 3 изд. - М.:НИЦ ИНФРА-М,2023 - 354 с.(П)</t>
  </si>
  <si>
    <t>УГОЛОВНОЕ ПРАВО РОССИЙСКОЙ ФЕДЕРАЦИИ. ОБЩАЯ ЧАСТЬ, ИЗД.3</t>
  </si>
  <si>
    <t>978-5-16-010583-3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</si>
  <si>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18 от 25.11.2019)</t>
  </si>
  <si>
    <t>429100.06.01</t>
  </si>
  <si>
    <t>Уголовное право РФ. Особенная часть: Уч. / Под ред. Иногамова-Хегай Л.В., - 3 изд.-М.:НИЦ ИНФРА-М,2023.-407 с.(П)</t>
  </si>
  <si>
    <t>УГОЛОВНОЕ ПРАВО РОССИЙСКОЙ ФЕДЕРАЦИИ. ОСОБЕННАЯ ЧАСТЬ, ИЗД.3</t>
  </si>
  <si>
    <t>Иногамова-Хегай Л.В., Антонова Е.Ю., Безверхов А.Г. и др.</t>
  </si>
  <si>
    <t>978-5-16-012808-5</t>
  </si>
  <si>
    <t>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</si>
  <si>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705868.04.01</t>
  </si>
  <si>
    <t>Уголовное право. Общая часть: Уч. / Под ред. Дворянскова И.В. - М.:НИЦ ИНФРА-М,2023 - 532 с.(ВО)(П)</t>
  </si>
  <si>
    <t>УГОЛОВНОЕ ПРАВО. ОБЩАЯ ЧАСТЬ</t>
  </si>
  <si>
    <t>Дворянсков И.В., Антонян Е.А., Боровиков С.А. и др.</t>
  </si>
  <si>
    <t>978-5-16-016856-2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</si>
  <si>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6 от 16.06.2021)</t>
  </si>
  <si>
    <t>776288.02.01</t>
  </si>
  <si>
    <t>Уголовное право. Общая часть: Уч. / Под ред. Дворянскова И.В. - М.:НИЦ ИНФРА-М,2023 - 532 с.(СПО)(П)</t>
  </si>
  <si>
    <t>978-5-16-017622-2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</si>
  <si>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</si>
  <si>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803540.01.01</t>
  </si>
  <si>
    <t>Уголовное право. Особенная часть: Уч. / Под ред. Дворянсков И.В.-М.:НИЦ ИНФРА-М,2023.-583 с..-(СПО)(п)</t>
  </si>
  <si>
    <t>УГОЛОВНОЕ ПРАВО. ОСОБЕННАЯ ЧАСТЬ</t>
  </si>
  <si>
    <t>Авдалян А.Я., Борков В.Н., Бугера М.А. и др.</t>
  </si>
  <si>
    <t>978-5-16-018461-6</t>
  </si>
  <si>
    <t>Российский государственный университет туризма и сервиса</t>
  </si>
  <si>
    <t>751214.01.01</t>
  </si>
  <si>
    <t>Уголовное право. Особенная часть: Уч. / Под ред. Дворянскова И.В.-М.:НИЦ ИНФРА-М,2023.-583 с.(ВО)(п)</t>
  </si>
  <si>
    <t>978-5-16-017753-3</t>
  </si>
  <si>
    <t>650930.03.01</t>
  </si>
  <si>
    <t>Уголовное право: особенная часть: Уч.пос. / В.В.Агильдин - М.:НИЦ ИНФРА-М,2022 - 162 с.(ВО:Бакалавр.)(О)</t>
  </si>
  <si>
    <t>УГОЛОВНОЕ ПРАВО: ОСОБЕННАЯ ЧАСТЬ</t>
  </si>
  <si>
    <t>Агильдин В.В.</t>
  </si>
  <si>
    <t>978-5-16-012674-6</t>
  </si>
  <si>
    <t>650930.04.01</t>
  </si>
  <si>
    <t>Уголовное право: особенная часть: Уч.пос. / В.В.Агильдин, - 2 изд.-М.:НИЦ ИНФРА-М,2023.-165 с.(ВО)(П)</t>
  </si>
  <si>
    <t>УГОЛОВНОЕ ПРАВО: ОСОБЕННАЯ ЧАСТЬ. ПРАКТИКУМ, ИЗД.2</t>
  </si>
  <si>
    <t>978-5-16-017849-3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</si>
  <si>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7 от 21.09.2022)</t>
  </si>
  <si>
    <t>383000.02.01</t>
  </si>
  <si>
    <t>Уголовное право: пределы, объекты и средства возд...: Моногр. / М.Р.Гета-М.:Юр.Норма,2017.-336 с.(П)</t>
  </si>
  <si>
    <t>УГОЛОВНОЕ ПРАВО: ПРЕДЕЛЫ, ОБЪЕКТЫ И СРЕДСТВА ВОЗДЕЙСТВИЯ В БОРЬБЕ С ПРЕСТУПНОСТЬЮ В СОВРЕМЕННОЙ РОССИИ</t>
  </si>
  <si>
    <t>Гета М.Р.</t>
  </si>
  <si>
    <t>978-5-91768-728-5</t>
  </si>
  <si>
    <t>40.02.01, 40.02.02, 40.03.01, 40.05.01, 40.05.02, 40.05.03, 44.03.05, 40.02.03</t>
  </si>
  <si>
    <t>Кемеровский государственный университет,Кузбасский гуманитарно-педагогический институт</t>
  </si>
  <si>
    <t>786082.02.01</t>
  </si>
  <si>
    <t>Уголовное судопроизводство: трансформация теор. представл..: Моногр. / Л.А.Воскобитова-М.:Юр. НОРМА, ИНФРА-М,2024-288с.(п)</t>
  </si>
  <si>
    <t>УГОЛОВНОЕ СУДОПРОИЗВОДСТВО: ТРАНСФОРМАЦИЯ ТЕОРЕТИЧЕСКИХ ПРЕДСТАВЛЕНИЙ И РЕГУЛИРОВАНИЯ В УСЛОВИЯХ ЦИФРОВИЗАЦИИ</t>
  </si>
  <si>
    <t>Воскобитова Л.А., Пржиленский В.И.</t>
  </si>
  <si>
    <t>978-5-00156-259-7</t>
  </si>
  <si>
    <t>388900.02.01</t>
  </si>
  <si>
    <t>Уголовно-исполн.право: Уч.пос. / А.В.Дмитренко-М.:ИЦ РИОР,НИЦ ИНФРА-М,2018.-280с.(ВО:Бакалавриат)(п)</t>
  </si>
  <si>
    <t>УГОЛОВНО-ИСПОЛНИТЕЛЬНОЕ ПРАВО</t>
  </si>
  <si>
    <t>978-5-369-01463-9</t>
  </si>
  <si>
    <t>40.02.02, 40.03.01, 40.04.01, 40.05.02</t>
  </si>
  <si>
    <t>025430.24.01</t>
  </si>
  <si>
    <t>Уголовно-исполнит. право России: Уч. / Селиверстов В.И. -  9 изд.-М.:Юр.Норма,НИЦ ИНФРА-М,2023-464с(П)</t>
  </si>
  <si>
    <t>УГОЛОВНО-ИСПОЛНИТЕЛЬНОЕ ПРАВО РОССИИ, ИЗД.9</t>
  </si>
  <si>
    <t>Селиверстов В.И., Геранин В.В., Зубарев С.М. и др.</t>
  </si>
  <si>
    <t>978-5-00156-296-2</t>
  </si>
  <si>
    <t>Допущено УМО по юридическому образованию вузов в качестве учебного пособия для студентов высших учебных заведений, обучающихся по направлению  и специальности Юриспруденция</t>
  </si>
  <si>
    <t>025430.22.01</t>
  </si>
  <si>
    <t>Уголовно-исполнительное право России: Уч. / Селиверстов В.И. -  8 изд.-М.:Юр.Норма,НИЦ ИНФРА-М,2023-432с(П)</t>
  </si>
  <si>
    <t>УГОЛОВНО-ИСПОЛНИТЕЛЬНОЕ ПРАВО РОССИИ, ИЗД.8</t>
  </si>
  <si>
    <t>978-5-91768-932-6</t>
  </si>
  <si>
    <t>025430.13.01</t>
  </si>
  <si>
    <t>Уголовно-исполнительное право России: Уч. /Селиверстов В.И.,-7 изд.-М:Норма,НИЦ ИНФРА-М,2016-448с(П)</t>
  </si>
  <si>
    <t>УГОЛОВНО-ИСПОЛНИТЕЛЬНОЕ ПРАВО РОССИИ, ИЗД.7</t>
  </si>
  <si>
    <t>Селиверстов В. И., Геранин В. А., Казакова В. А., Селиверстов В. И.</t>
  </si>
  <si>
    <t>978-5-91768-463-5</t>
  </si>
  <si>
    <t>0714</t>
  </si>
  <si>
    <t>243100.02.01</t>
  </si>
  <si>
    <t>Уголовно-исполнительное право РФ: Лекции / А.К.Романов - М.:Форум,НИЦ ИНФРА-М,2016 - 496с.(п)</t>
  </si>
  <si>
    <t>УГОЛОВНО-ИСПОЛНИТЕЛЬНОЕ ПРАВО РОССИЙСКОЙ ФЕДЕРАЦИИ</t>
  </si>
  <si>
    <t>Романов А. К.</t>
  </si>
  <si>
    <t>978-5-91134-820-5</t>
  </si>
  <si>
    <t>Рекомендовано Ученым советом юридического факультета им. М.М. Сперанского РАНХиГС при Президенте РФ в качестве учебного пособия для студентов высших учебных заведений, обучающихся по юридическим специальностям</t>
  </si>
  <si>
    <t>243100.07.01</t>
  </si>
  <si>
    <t>Уголовно-исполнительное право РФ: Лекции / А.К.Романов -2изд.- М.:Форум,НИЦ ИНФРА-М,2024 - 667с.(п)</t>
  </si>
  <si>
    <t>УГОЛОВНО-ИСПОЛНИТЕЛЬНОЕ ПРАВО РОССИЙСКОЙ ФЕДЕРАЦИИ: ОБЩАЯ И ОСОБЕННАЯ ЧАСТИ, ИЗД.2</t>
  </si>
  <si>
    <t>978-5-16-015538-8</t>
  </si>
  <si>
    <t>Рекомендовано Ученым советом Института права и национальной безопасности Российской академии народного хозяйства и государственной службы при Президенте Российской Федерации в качестве учебного пособия для студентов высших учебных заведений, обучающихся по юридическим направлениям</t>
  </si>
  <si>
    <t>776291.02.01</t>
  </si>
  <si>
    <t>Уголовно-исполнительное право: Уч. / Под ред. Дворянскова И.В. - М.:НИЦ ИНФРА-М,2024 - 380 с.-(СПО)(П)</t>
  </si>
  <si>
    <t>Абатуров А.И., Боровиков С.А., Дворянсков И.В. и др.</t>
  </si>
  <si>
    <t>978-5-16-017603-1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</si>
  <si>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</si>
  <si>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Кировский Институт повышения квалификации работников федеральной службы исполнения наказаний</t>
  </si>
  <si>
    <t>684143.07.01</t>
  </si>
  <si>
    <t>Уголовно-исполнительное право: Уч. / Под ред. Дворянскова И.В. - М.:НИЦ ИНФРА-М,2024-380 с.-(ВО)(п)</t>
  </si>
  <si>
    <t>978-5-16-018800-3</t>
  </si>
  <si>
    <t>659818.04.01</t>
  </si>
  <si>
    <t>Уголовно-исполнительное право: Уч. для аспирантуры/Е.А.Антонян-М.:Юр.Норма, НИЦ ИНФРА-М,2023-336с(П)</t>
  </si>
  <si>
    <t>Антонян Е.А.</t>
  </si>
  <si>
    <t>978-5-91768-845-9</t>
  </si>
  <si>
    <t>56.05.01, 40.05.04, 40.02.02, 40.03.01, 40.05.01, 40.05.02, 40.05.03</t>
  </si>
  <si>
    <t>650200.05.01</t>
  </si>
  <si>
    <t>Уголовно-правовое противод.преступ., соверш...: Уч.пос. / Е.А.Русскевич-2 изд.-М.:ИНФРА-М,2023-188с.(ВО)(П)</t>
  </si>
  <si>
    <t>УГОЛОВНО-ПРАВОВОЕ ПРОТИВОДЕЙСТВИЕ ПРЕСТУПЛЕНИЯМ, СОВЕРШАЕМЫМ С ИСПОЛЬЗОВАНИЕМ ИНФОРМАЦИОННО-КОММУНИКАЦИОННЫХ ТЕХНОЛОГИЙ, ИЗД.2</t>
  </si>
  <si>
    <t>978-5-16-014392-7</t>
  </si>
  <si>
    <t>650200.02.01</t>
  </si>
  <si>
    <t>Уголовно-правовое противод.преступ., соверш...: Уч.пос. / Е.А.Русскевич-М.:НИЦ ИНФРА-М,2018-115с(ВО)</t>
  </si>
  <si>
    <t>УГОЛОВНО-ПРАВОВОЕ ПРОТИВОДЕЙСТВИЕ ПРЕСТУПЛЕНИЯМ, СОВЕРШАЕМЫМ С ИСПОЛЬЗОВАНИЕМ ИНФОРМАЦИОННО-КОММУНИКАЦИОННЫХ ТЕХНОЛОГИЙ</t>
  </si>
  <si>
    <t>978-5-16-012534-3</t>
  </si>
  <si>
    <t>751995.01.01</t>
  </si>
  <si>
    <t>Уголовно-процессуал. деят. органов дознания Вооруженных Сил РФ: Уч.пос. / М.В.Слифиш-М.:НИЦ ИНФРА-М,2022.-169 с.(П)</t>
  </si>
  <si>
    <t>УГОЛОВНО-ПРОЦЕССУАЛЬНАЯ ДЕЯТЕЛЬНОСТЬ ОРГАНОВ ДОЗНАНИЯ ВООРУЖЕННЫХ СИЛ РОССИЙСКОЙ ФЕДЕРАЦИИ</t>
  </si>
  <si>
    <t>Слифиш М.В.</t>
  </si>
  <si>
    <t>978-5-16-015345-2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</si>
  <si>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6 от 16.06.2021)</t>
  </si>
  <si>
    <t>654634.03.01</t>
  </si>
  <si>
    <t>Уголовно-процессуал. основы исполнения приговора: Уч. /О.А.Малышева -М.:Юр.Норма, НИЦ ИНФРА-М,2022.-288 с.(П)</t>
  </si>
  <si>
    <t>УГОЛОВНО-ПРОЦЕССУАЛЬНЫЕ ОСНОВЫ ИСПОЛНЕНИЯ ПРИГОВОРА</t>
  </si>
  <si>
    <t>Малышева О.А.</t>
  </si>
  <si>
    <t>978-5-91768-826-8</t>
  </si>
  <si>
    <t>741192.03.01</t>
  </si>
  <si>
    <t>Уголовно-процессуальное право РФ: Практикум / Воскобитова Л.А. и др.-М.:Юр.Норма, НИЦ ИНФРА-М,2023-352с.(П)</t>
  </si>
  <si>
    <t>УГОЛОВНО-ПРОЦЕССУАЛЬНОЕ ПРАВО РОССИЙСКОЙ ФЕДЕРАЦИИ</t>
  </si>
  <si>
    <t>Воскобитова Л.А., Сушина Т.Е., Антонович Е.К. и др.</t>
  </si>
  <si>
    <t>978-5-00156-087-6</t>
  </si>
  <si>
    <t>101000.13.01</t>
  </si>
  <si>
    <t>Уголовно-процессуальное право РФ: Уч./Отв.ред. П.А.Лупинская-4изд.-М:Норма:НИЦ ИНФРА-М,2022-1008с(п)</t>
  </si>
  <si>
    <t>УГОЛОВНО-ПРОЦЕССУАЛЬНОЕ ПРАВО РОССИЙСКОЙ ФЕДЕРАЦИИ, ИЗД.4</t>
  </si>
  <si>
    <t>Лупинская П.А., Воскобитова Л.А.</t>
  </si>
  <si>
    <t>978-5-91768-905-0</t>
  </si>
  <si>
    <t>Допущено Министерством образования РФ в качестве учебника для студентов высших учебных заведений, обучающихся по специальности 021100 "Юриспруденция"</t>
  </si>
  <si>
    <t>740840.03.01</t>
  </si>
  <si>
    <t>Уголовно-процессуальное право: Уч. / В.М.Лебедев, - 3 изд.-М.:Юр.Норма, НИЦ ИНФРА-М,2023.-936 с.(П)</t>
  </si>
  <si>
    <t>УГОЛОВНО-ПРОЦЕССУАЛЬНОЕ ПРАВО, ИЗД.3</t>
  </si>
  <si>
    <t>Лебедев В.М.</t>
  </si>
  <si>
    <t>978-5-00156-081-4</t>
  </si>
  <si>
    <t>110150.09.01</t>
  </si>
  <si>
    <t>Уголовно-статистические этюды /Н.А. Неклюдов. - М.: ИНФРА-М, 2023. - 197 с. (п) ISBN:978-5-16-003627-4</t>
  </si>
  <si>
    <t>УГОЛОВНО-СТАТИСТИЧЕСКИЕ ЭТЮДЫ</t>
  </si>
  <si>
    <t>Неклюдов Н. А., Овчинский В. С., Федоров А. В.</t>
  </si>
  <si>
    <t>978-5-16-003627-4</t>
  </si>
  <si>
    <t>743881.02.01</t>
  </si>
  <si>
    <t>Уголовный закон и экономическая деят. / В.Ю.Артемов и др. - М.:НИЦ ИНФРА,2021 - 392 с.(П)</t>
  </si>
  <si>
    <t>УГОЛОВНЫЙ ЗАКОН И ЭКОНОМИЧЕСКАЯ ДЕЯТЕЛЬНОСТЬ (СООТНОШЕНИЕ ЧАСТНЫХ И ПУБЛИЧНЫХ ИНТЕРЕСОВ)</t>
  </si>
  <si>
    <t>Артемов В.Ю., Голованова Н.А., Гравина А.А. и др.</t>
  </si>
  <si>
    <t>978-5-16-016475-5</t>
  </si>
  <si>
    <t>40.03.01, 40.04.01, 38.04.01, 38.05.01, 38.06.01, 40.06.01</t>
  </si>
  <si>
    <t>767937.01.01</t>
  </si>
  <si>
    <t>Уголовный процесс: общие положения и...: Уч.пос. / О.П.Александрова-М.:НИЦ ИНФРА-М,2023.-241 с.(ВО)(п)</t>
  </si>
  <si>
    <t>УГОЛОВНЫЙ ПРОЦЕСС: ОБЩИЕ ПОЛОЖЕНИЯ И ДОСУДЕБНОЕ ПРОИЗВОДСТВО. ПРАКТИКУМ</t>
  </si>
  <si>
    <t>Александрова О.П., Буданова Л.Ю.</t>
  </si>
  <si>
    <t>978-5-16-017372-6</t>
  </si>
  <si>
    <t>762038.03.01</t>
  </si>
  <si>
    <t>Уголовный процесс: Уч. / А.Д.Прошляков - М.:Юр.Норма, НИЦ ИНФРА-М,2024 - 888 с.(П)</t>
  </si>
  <si>
    <t>УГОЛОВНЫЙ ПРОЦЕСС</t>
  </si>
  <si>
    <t>Прошляков А.Д.</t>
  </si>
  <si>
    <t>978-5-00156-190-3</t>
  </si>
  <si>
    <t>096841.13.01</t>
  </si>
  <si>
    <t>Уголовный процесс: Уч. / Под ред. Смирнова А.В. - 7 изд. - М.:Юр.Норма, НИЦ ИНФРА-М,2019-752с.(П)</t>
  </si>
  <si>
    <t>УГОЛОВНЫЙ ПРОЦЕСС, ИЗД.7</t>
  </si>
  <si>
    <t>Смирнов А. В., Калиновский К. Б.</t>
  </si>
  <si>
    <t>978-5-91768-794-0</t>
  </si>
  <si>
    <t>Допущено Учебно-методическим объединением по юридическому образованию вузов Российской Федерации з качестве учебника для студентов высших учебных заведений, обучающихся по специальности и направлению подготовки «Юриспруденция»</t>
  </si>
  <si>
    <t>096841.18.01</t>
  </si>
  <si>
    <t>Уголовный процесс: Уч. / Под ред. Смирнова А.В. - 8 изд. - М.:Юр.Норма, НИЦ ИНФРА-М,2024 - 784 с.(П)</t>
  </si>
  <si>
    <t>УГОЛОВНЫЙ ПРОЦЕСС, ИЗД.8</t>
  </si>
  <si>
    <t>978-5-00156-039-5</t>
  </si>
  <si>
    <t>062370.09.01</t>
  </si>
  <si>
    <t>Уголовный процесс: Шпаргалка - 7изд. - М.:ИЦ РИОР,2016 -158с.(Шпаргалка [отрывная])(о)</t>
  </si>
  <si>
    <t>978-5-369-01477-6</t>
  </si>
  <si>
    <t>636767.06.01</t>
  </si>
  <si>
    <t>Унификация и гармониз.в международ....: Моногр. / Г.К.Дмитриева - М.:Юр.Норма,НИЦ ИНФРА-М,2023-208с.(П)</t>
  </si>
  <si>
    <t>УНИФИКАЦИЯ И ГАРМОНИЗАЦИЯ В МЕЖДУНАРОДНОМ ЧАСТНОМ ПРАВЕ. ВОПРОСЫ ТЕОРИИ И ПРАКТИКИ</t>
  </si>
  <si>
    <t>Дмитриева Г.К.</t>
  </si>
  <si>
    <t>978-5-91768-753-7</t>
  </si>
  <si>
    <t>741210.01.01</t>
  </si>
  <si>
    <t>Унификация цивилистич. процессуал. законодательства.../ М.В.Самсонова-М.:Юр.Норма, НИЦ ИНФРА-М,2021.-336 с.(П)</t>
  </si>
  <si>
    <t>УНИФИКАЦИЯ ЦИВИЛИСТИЧЕСКОГО ПРОЦЕССУАЛЬНОГО ЗАКОНОДАТЕЛЬСТВА: АНАЛИЗ, ПЕРСПЕКТИВЫ</t>
  </si>
  <si>
    <t>Самсонова М.В.</t>
  </si>
  <si>
    <t>978-5-00156-088-3</t>
  </si>
  <si>
    <t>702621.05.01</t>
  </si>
  <si>
    <t>Управление гос. (муниципальными) закупками: Уч.пос. / Г.Т.Гафурова - М.:НИЦ ИНФРА-М,2022 - 331с.(ВО)(П)</t>
  </si>
  <si>
    <t>УПРАВЛЕНИЕ ГОСУДАРСТВЕННЫМИ (МУНИЦИПАЛЬНЫМИ) ЗАКУПКАМИ</t>
  </si>
  <si>
    <t>Гафурова Г.Т.</t>
  </si>
  <si>
    <t>978-5-16-015094-9</t>
  </si>
  <si>
    <t>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</si>
  <si>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6 от 25.03.2019)</t>
  </si>
  <si>
    <t>Казанский инновационный университет им. В.Г. Тимирясова</t>
  </si>
  <si>
    <t>685009.05.01</t>
  </si>
  <si>
    <t>Управление делами в гражд.процессе за рубежом: Моногр. / С.В.Лазарев-М.:Юр.Норма, НИЦ ИНФРА-М,2023-400с(П)</t>
  </si>
  <si>
    <t>УПРАВЛЕНИЕ ДЕЛАМИ В ГРАЖДАНСКОМ ПРОЦЕССЕ ЗА РУБЕЖОМ</t>
  </si>
  <si>
    <t>Лазарев С.В.</t>
  </si>
  <si>
    <t>978-5-91768-938-8</t>
  </si>
  <si>
    <t>Арбитражный суд Уральского округа</t>
  </si>
  <si>
    <t>464850.04.01</t>
  </si>
  <si>
    <t>Управление и полиция Сибири в дореволюц период...:Моногр./И.А.Коновалов-М.:НИЦ ИНФРА-М,2019-302с.(О)</t>
  </si>
  <si>
    <t>УПРАВЛЕНИЕ И ПОЛИЦИЯ СИБИРИ В ДОРЕВОЛЮЦИОННЫЙ ПЕРИОД: СТАНОВЛЕНИЕ И РАЗВИТИЕ</t>
  </si>
  <si>
    <t>Коновалов И.А.</t>
  </si>
  <si>
    <t>978-5-16-009652-0</t>
  </si>
  <si>
    <t>654518.04.01</t>
  </si>
  <si>
    <t>Управленческая культура в системе органов внутр.дел: Моногр. / Д.Г.Передня-М.:НИЦ ИНФРА-М,2024-103с</t>
  </si>
  <si>
    <t>УПРАВЛЕНЧЕСКАЯ КУЛЬТУРА В СИСТЕМЕ ОРГАНОВ ВНУТРЕННИХ ДЕЛ</t>
  </si>
  <si>
    <t>Передня Д.Г.</t>
  </si>
  <si>
    <t>978-5-16-012796-5</t>
  </si>
  <si>
    <t>259200.09.01</t>
  </si>
  <si>
    <t>Учение о законе в русской юриспруденции: Моногр. /Е.Г.Лукьянова -М.: Юр.Норма, НИЦ ИНФРА-М, 2023.-160 с.(О)</t>
  </si>
  <si>
    <t>УЧЕНИЕ О ЗАКОНЕ В РУССКОЙ ЮРИСПРУДЕНЦИИ</t>
  </si>
  <si>
    <t>978-5-91768-456-7</t>
  </si>
  <si>
    <t>791439.01.01</t>
  </si>
  <si>
    <t>Ученый, Ректор, Человек М.И. Кукушкин: личность в ист. СЮИ — УрГЮА — УрГЮУ: Моногр.- М.:Юр. НОРМА,2022.-224 с.(П)</t>
  </si>
  <si>
    <t>УЧЕНЫЙ, РЕКТОР, ЧЕЛОВЕК МИХАИЛ ИВАНОВИЧ КУКУШКИН: ЛИЧНОСТЬ В ИСТОРИИ СЮИ — УРГЮА — УРГЮУ</t>
  </si>
  <si>
    <t>978-5-00156-270-2</t>
  </si>
  <si>
    <t>44.06.01</t>
  </si>
  <si>
    <t>646030.05.01</t>
  </si>
  <si>
    <t>Фактический состав в механизме прав.регулир.: Моногр / В.Б.Исаков - М.:Юр.Норма, НИЦ ИНФРА-М,2022-128с(П)</t>
  </si>
  <si>
    <t>ФАКТИЧЕСКИЙ СОСТАВ В МЕХАНИЗМЕ ПРАВОВОГО РЕГУЛИРОВАНИЯ</t>
  </si>
  <si>
    <t>978-5-91768-791-9</t>
  </si>
  <si>
    <t>730857.02.01</t>
  </si>
  <si>
    <t>Федерализм: механизм возникновения и...: Моногр. / А.Д.Гуляков-М.:ИЦ РИОР, НИЦ ИНФРА-М,2022.-388с(П)</t>
  </si>
  <si>
    <t>ФЕДЕРАЛИЗМ: МЕХАНИЗМ ВОЗНИКНОВЕНИЯ И ОСНОВНЫЕ НАПРАВЛЕНИЯ РАЗВИТИЯ</t>
  </si>
  <si>
    <t>Гуляков А.Д.</t>
  </si>
  <si>
    <t>978-5-369-01838-5</t>
  </si>
  <si>
    <t>657551.05.01</t>
  </si>
  <si>
    <t>Философия  права: Уч. / И.И.Кальной - М.:Вуз. уч., НИЦ ИНФРА-М,2021 - 292 с.(П)</t>
  </si>
  <si>
    <t>ФИЛОСОФИЯ  ПРАВА</t>
  </si>
  <si>
    <t>Кальной И.И., Чукин С.Г.</t>
  </si>
  <si>
    <t>978-5-9558-0571-9</t>
  </si>
  <si>
    <t>40.05.04, 38.04.09, 40.04.01, 40.05.01, 40.05.02, 40.05.03</t>
  </si>
  <si>
    <t>Крымский федеральный университет им. В.И. Вернадского</t>
  </si>
  <si>
    <t>430900.05.01</t>
  </si>
  <si>
    <t>Философия политики и права: Уч. пос./ В.И.Пернацкий-М.:ИЦ РИОР, НИЦ ИНФРА-М,2024.-224 с.(ВО)(П)</t>
  </si>
  <si>
    <t>ФИЛОСОФИЯ ПОЛИТИКИ И ПРАВА</t>
  </si>
  <si>
    <t>Пернацкий В. И.</t>
  </si>
  <si>
    <t>978-5-369-01151-5</t>
  </si>
  <si>
    <t>47.03.01, 41.03.04, 46.03.01, 40.03.01, 38.04.09, 47.04.01, 41.04.04, 46.04.01, 40.04.01, 41.03.06</t>
  </si>
  <si>
    <t>Ивановский государственный университет</t>
  </si>
  <si>
    <t>024246.12.01</t>
  </si>
  <si>
    <t>Философия права / В.С.Нерсесянц - М.: Юр.Норма, НИЦ ИНФРА-М, 2023 -256с(Краткие уч.курсы юр.наук)(О)</t>
  </si>
  <si>
    <t>ФИЛОСОФИЯ ПРАВА</t>
  </si>
  <si>
    <t>978-5-91768-250-1</t>
  </si>
  <si>
    <t>40.05.04, 47.03.01, 40.03.01, 38.04.09, 47.04.01, 40.04.01, 40.05.01, 40.05.02, 40.05.03</t>
  </si>
  <si>
    <t>397100.06.01</t>
  </si>
  <si>
    <t>Философия права в России: из опыта XX в.: Моногр. / В.Г.Графский-М.:Юр.Норма, НИЦ ИНФРА-М, 2023-240с(П)</t>
  </si>
  <si>
    <t>ФИЛОСОФИЯ ПРАВА В РОССИИ: ИЗ ОПЫТА XX ВЕКА</t>
  </si>
  <si>
    <t>Графский В.Г., Борщ И.В., Малахов В.П. и др.</t>
  </si>
  <si>
    <t>978-5-91768-658-5</t>
  </si>
  <si>
    <t>253300.11.01</t>
  </si>
  <si>
    <t>Философия права и юр. герменевтика: Моногр. / И.П.Малинова, - 2 изд.-М.:Юр.НОРМА,НИЦ ИНФРА-М,2023-160с(п)</t>
  </si>
  <si>
    <t>ФИЛОСОФИЯ ПРАВА И ЮРИДИЧЕСКАЯ ГЕРМЕНЕВТИКА, ИЗД.2</t>
  </si>
  <si>
    <t>Малинова И.П.</t>
  </si>
  <si>
    <t>978-5-00156-293-1</t>
  </si>
  <si>
    <t>253300.10.01</t>
  </si>
  <si>
    <t>Философия права и юридич. герменевтика: Моногр. / И.П.Малинова - М.:Юр.Норма, НИЦ ИНФРА-М,2023-176с(О)</t>
  </si>
  <si>
    <t>ФИЛОСОФИЯ ПРАВА И ЮРИДИЧЕСКАЯ ГЕРМЕНЕВТИКА</t>
  </si>
  <si>
    <t>978-5-91768-449-9</t>
  </si>
  <si>
    <t>674319.03.01</t>
  </si>
  <si>
    <t>Философия права Рудольфа Штаммлера: Моногр. / Н.А.Шавеко - М.:НИЦ ИНФРА-М,2021-177с(Науч.мысль)(О)</t>
  </si>
  <si>
    <t>ФИЛОСОФИЯ ПРАВА РУДОЛЬФА ШТАММЛЕРА</t>
  </si>
  <si>
    <t>Шавеко Н.А.</t>
  </si>
  <si>
    <t>978-5-16-012587-9</t>
  </si>
  <si>
    <t>Институт философии и права Уральского отделения Российской академии наук, Удмуртский ф-л</t>
  </si>
  <si>
    <t>486100.04.01</t>
  </si>
  <si>
    <t>Философия права: конц. основы препод. в юр.вузах: Моногр. / Л.А.Демина - М.:Юр.Норма, НИЦ ИНФРА-М, 2022-224(о)</t>
  </si>
  <si>
    <t>ФИЛОСОФИЯ ПРАВА: КОНЦЕПТУАЛЬНЫЕ ОСНОВЫ ПРЕПОДАВАНИЯ В ЮРИДИЧЕСКИХ ВУЗАХ</t>
  </si>
  <si>
    <t>Демина Л.А.</t>
  </si>
  <si>
    <t>978-5-91768-719-3</t>
  </si>
  <si>
    <t>641411.01.01</t>
  </si>
  <si>
    <t>Философия права: Уч. / А.Н.Халиков-М.:ИЦ РИОР, НИЦ ИНФРА-М,2017.-602 с.(П)</t>
  </si>
  <si>
    <t>978-5-369-01649-7</t>
  </si>
  <si>
    <t>774604.03.01</t>
  </si>
  <si>
    <t>Философия права: Уч. / Г.С.Працко - М.:ИЦ РИОР, НИЦ ИНФРА-М,2023 - 424 с.(ВО)(П)</t>
  </si>
  <si>
    <t>978-5-369-01898-9</t>
  </si>
  <si>
    <t>38.04.09, 47.04.01, 41.04.04, 40.04.01, 40.05.01</t>
  </si>
  <si>
    <t>732738.03.01</t>
  </si>
  <si>
    <t>Философия права: Уч. / И.П.Малинова - М.:Юр.Норма, НИЦ ИНФРА-М,2023 - 192 с.(П)</t>
  </si>
  <si>
    <t>978-5-00156-054-8</t>
  </si>
  <si>
    <t>40.05.04, 40.03.01, 38.04.09, 40.04.01, 40.05.01, 40.05.02, 40.05.03</t>
  </si>
  <si>
    <t>200600.08.01</t>
  </si>
  <si>
    <t>Философия права: Уч. / Под ред. Данильяна О.Г. - 2 изд. - М.:НИЦ ИНФРА-М,2022 - 336с(ВО:Бакалавриат)(П)</t>
  </si>
  <si>
    <t>ФИЛОСОФИЯ ПРАВА, ИЗД.2</t>
  </si>
  <si>
    <t>Данильян О. Г., Байрачная Л. Д., Дзебань А. П., Данильян О. Г.</t>
  </si>
  <si>
    <t>978-5-16-005527-5</t>
  </si>
  <si>
    <t>Рекомендовано в качестве учебника для студентов высших учебных заведений, обучающихся по направлению и специальности 40.03.01 «Юриспруденция»</t>
  </si>
  <si>
    <t>Юридическая академия Украины им. Ярослава Мудрого</t>
  </si>
  <si>
    <t>003563.23.01</t>
  </si>
  <si>
    <t>Философия права: Уч. для вузов / В.С. Нерсесянц-2 изд. -М.: Норма:  НИЦ ИНФРА-М, 2024 -848 с. (п)</t>
  </si>
  <si>
    <t>978-5-91768-028-6</t>
  </si>
  <si>
    <t>659133.04.01</t>
  </si>
  <si>
    <t>Философия права: Уч.пос.: Ч.1 / А.В.Попова - М.:НИЦ ИНФРА-М,2022 - 474 с.-(ВО: Магистр.)(П)</t>
  </si>
  <si>
    <t>978-5-16-014379-8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</si>
  <si>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18 от 25.11.2019)</t>
  </si>
  <si>
    <t>745619.03.01</t>
  </si>
  <si>
    <t>Философия трудового права: Моногр. / В.М.Лебедев - М.:Юр.Норма, НИЦ ИНФРА-М,2023-128 с.(П)</t>
  </si>
  <si>
    <t>ФИЛОСОФИЯ ТРУДОВОГО ПРАВА</t>
  </si>
  <si>
    <t>978-5-00156-098-2</t>
  </si>
  <si>
    <t>698436.03.01</t>
  </si>
  <si>
    <t>Философия уголовного права: постановка вопр. / С.А.Бочкарев-М.:Юр.Норма, НИЦ Инфра-М, 2023.-424с.(П)</t>
  </si>
  <si>
    <t>ФИЛОСОФИЯ УГОЛОВНОГО ПРАВА: ПОСТАНОВКА ВОПРОСА</t>
  </si>
  <si>
    <t>Бочкарев С.А.</t>
  </si>
  <si>
    <t>978-5-91768-984-5</t>
  </si>
  <si>
    <t>47.04.01, 40.04.01, 40.05.01, 40.05.02, 40.05.03, 40.06.01</t>
  </si>
  <si>
    <t>485300.06.01</t>
  </si>
  <si>
    <t>Философия юридической науки: Уч.пос. /В.И.Пржиленский -М.:Юр.Норма, НИЦ ИНФРА-М,2024.-208 с.(О)</t>
  </si>
  <si>
    <t>ФИЛОСОФИЯ ЮРИДИЧЕСКОЙ НАУКИ</t>
  </si>
  <si>
    <t>978-5-91768-715-5</t>
  </si>
  <si>
    <t>693934.04.01</t>
  </si>
  <si>
    <t>Философские проблемы права: Монография / Д.А.Керимов - М.:Юр.Норма,НИЦ ИНФРА-М,2022 - 472 с.(П)</t>
  </si>
  <si>
    <t>ФИЛОСОФСКИЕ ПРОБЛЕМЫ ПРАВА</t>
  </si>
  <si>
    <t>978-5-91768-970-8</t>
  </si>
  <si>
    <t>052000.16.01</t>
  </si>
  <si>
    <t>Финансовое право России: Уч. / Ю.А.Крохина - 6 изд. - М.:Юр.Норма, НИЦ ИНФРА-М,2023 - 504 с.(п)</t>
  </si>
  <si>
    <t>ФИНАНСОВОЕ ПРАВО РОССИИ, ИЗД.6</t>
  </si>
  <si>
    <t>Крохина Ю. А.</t>
  </si>
  <si>
    <t>978-5-00156-069-2</t>
  </si>
  <si>
    <t>40.02.01, 40.02.02, 40.03.01, 40.04.01, 44.03.05, 40.02.03</t>
  </si>
  <si>
    <t>0620</t>
  </si>
  <si>
    <t>052000.09.01</t>
  </si>
  <si>
    <t>Финансовое право России: Уч. / Ю.А.Крохина, - 5-е изд.-М.:Юр.Норма, НИЦ ИНФРА-М,2016.-624 с.(п)</t>
  </si>
  <si>
    <t>ФИНАНСОВОЕ ПРАВО РОССИИ, ИЗД.5</t>
  </si>
  <si>
    <t>Крохина Ю.А.</t>
  </si>
  <si>
    <t>978-5-91768-530-4</t>
  </si>
  <si>
    <t>029982.15.01</t>
  </si>
  <si>
    <t>Финансовое право: Уч. / Е.Ю.Грачева - 5 изд. - М.:Норма: НИЦ Инфра-М, 2023-272с(Ab ovo)(П) (СПО)</t>
  </si>
  <si>
    <t>ФИНАНСОВОЕ ПРАВО, ИЗД.5</t>
  </si>
  <si>
    <t>Грачева Е. Ю., Соколова Э. Д.</t>
  </si>
  <si>
    <t>978-5-91768-952-4</t>
  </si>
  <si>
    <t>0518</t>
  </si>
  <si>
    <t>029982.16.01</t>
  </si>
  <si>
    <t>Финансовое право: Уч. / Е.Ю.Грачева - 6 изд. - М.:Норма: НИЦ Инфра-М, 2023-256с(Ab ovo)(П) (СПО)</t>
  </si>
  <si>
    <t>ФИНАНСОВОЕ ПРАВО, ИЗД.6</t>
  </si>
  <si>
    <t>978-5-00156-319-8</t>
  </si>
  <si>
    <t>0623</t>
  </si>
  <si>
    <t>083830.04.01</t>
  </si>
  <si>
    <t>Финансовое право: Уч. / И.В.Рукавишникова, - 3-е изд.-М.:Юр. НОРМА, НИЦ ИНФРА-М,2024.-648 с.(п)</t>
  </si>
  <si>
    <t>ФИНАНСОВОЕ ПРАВО, ИЗД.3</t>
  </si>
  <si>
    <t>Рукавишникова И. В.</t>
  </si>
  <si>
    <t>978-5-00156-074-6</t>
  </si>
  <si>
    <t>40.02.01, 40.03.01, 40.04.01, 40.02.03</t>
  </si>
  <si>
    <t>088600.15.01</t>
  </si>
  <si>
    <t>Финансовое право: Уч. / Н.И.Химичева - 6 изд. - М.:Юр.Норма,НИЦ ИНФРА-М,2023 - 800 с.(П)</t>
  </si>
  <si>
    <t>Покачалова Е.В., Химичева Н.И., Смирнов Д.А. и др.</t>
  </si>
  <si>
    <t>978-5-91768-837-4</t>
  </si>
  <si>
    <t>Допущено Министерством образования РФ в качестве учебного пособия  для студентов вузов, обучающихся по специальности 021100 "Юриспруденция"</t>
  </si>
  <si>
    <t>Саратовская государственная юридическая академия, Юридический институт правового администрирования</t>
  </si>
  <si>
    <t>347400.08.01</t>
  </si>
  <si>
    <t>Финансовое право: Уч. пос. / А.А.Мусаткина - М.:ИЦ РИОР, НИЦ ИНФРА-М,2022. - 176 с.(П)</t>
  </si>
  <si>
    <t>ФИНАНСОВОЕ ПРАВО</t>
  </si>
  <si>
    <t>Мусаткина А.А., Чуклова Е.В.</t>
  </si>
  <si>
    <t>978-5-369-01440-0</t>
  </si>
  <si>
    <t>Рекомендовано учебно-методическим советом ФБГОУ ВПО ТГУ в качестве учебного пособия по юридическим и экономическим направлениям подготовки бакалавриата и специалитета</t>
  </si>
  <si>
    <t>046270.14.01</t>
  </si>
  <si>
    <t>Финансовое право: Уч. пос./ Е.И. Майорова - 4 изд. - М.: ИД ФОРУМ:  НИЦ ИНФРА-М, 2020. - 288 с. (ПО)</t>
  </si>
  <si>
    <t>ФИНАНСОВОЕ ПРАВО, ИЗД.4</t>
  </si>
  <si>
    <t>Майорова Е. И., Хроленкова Л. В.</t>
  </si>
  <si>
    <t>978-5-8199-0621-7</t>
  </si>
  <si>
    <t>40.02.01, 38.02.06, 38.02.07</t>
  </si>
  <si>
    <t>Допущено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 обучающихся по специальностям правоеедческого профиля</t>
  </si>
  <si>
    <t>645627.03.01</t>
  </si>
  <si>
    <t>Финансово-прав.проблемы обращ. драг..: Науч.практ.пос./ Янкевич В.С. -М.:НИЦ ИНФРА-М,2020-152с.(ИЗиСП) (О)</t>
  </si>
  <si>
    <t>ФИНАНСОВО-ПРАВОВЫЕ ПРОБЛЕМЫ ОБРАЩЕНИЯ ДРАГОЦЕННЫХ МЕТАЛЛОВ И ДРАГОЦЕННЫХ КАМНЕЙ В РОССИЙСКОЙ ФЕДЕРАЦИИ</t>
  </si>
  <si>
    <t>Янкевич В.С., Кучеров И.И.</t>
  </si>
  <si>
    <t>978-5-16-012415-5</t>
  </si>
  <si>
    <t>173300.05.01</t>
  </si>
  <si>
    <t>Финансово-правовые институты заруб. стран: Уч.пос. / В.А.Белов-М.:ИЦ РИОР, НИЦ ИНФРА-М,2020-299с(ВО)</t>
  </si>
  <si>
    <t>ФИНАНСОВО-ПРАВОВЫЕ ИНСТИТУТЫ ЗАРУБЕЖНЫХ СТРАН</t>
  </si>
  <si>
    <t>Белов В.А., Прошунин М.М.</t>
  </si>
  <si>
    <t>978-5-369-01039-6</t>
  </si>
  <si>
    <t>40.05.04, 40.03.01, 40.04.01, 38.04.01, 38.04.08, 40.05.01, 40.05.02, 40.05.03, 38.03.01</t>
  </si>
  <si>
    <t>200180.08.01</t>
  </si>
  <si>
    <t>Фондовый рынок Франции: Монография / Р.С.Куракин - М.:НИЦ ИНФРА-М,2021 - 78 с.-(Науч.мысль)(О)</t>
  </si>
  <si>
    <t>ФОНДОВЫЙ РЫНОК ФРАНЦИИ</t>
  </si>
  <si>
    <t>978-5-16-006139-9</t>
  </si>
  <si>
    <t>38.04.01, 38.04.08, 38.03.01</t>
  </si>
  <si>
    <t>200181.08.01</t>
  </si>
  <si>
    <t>Фондовый рынок ФРГ: Монография / К.В.Мротцек-М.:НИЦ ИНФРА-М,2024.-152 с..-(Научная мысль)(О)</t>
  </si>
  <si>
    <t>ФОНДОВЫЙ РЫНОК ФЕДЕРАТИВНОЙ РЕСПУБЛИКИ ГЕРМАНИЯ</t>
  </si>
  <si>
    <t>Мротцек К.В., Куракин Р.С.</t>
  </si>
  <si>
    <t>978-5-16-006143-6</t>
  </si>
  <si>
    <t>711889.03.01</t>
  </si>
  <si>
    <t>Форма Советского государства: Монография / В.А.Рыбаков-М.:НИЦ ИНФРА-М,2024.-191 с..-(Науч.мысль)(О)</t>
  </si>
  <si>
    <t>ФОРМА СОВЕТСКОГО ГОСУДАРСТВА</t>
  </si>
  <si>
    <t>Рыбаков В.А.</t>
  </si>
  <si>
    <t>978-5-16-015525-8</t>
  </si>
  <si>
    <t>41.03.04, 41.04.04</t>
  </si>
  <si>
    <t>145550.06.01</t>
  </si>
  <si>
    <t>Формальные источники права: Моногр. / С.А. Дробышевский - М.:Норма: НИЦ ИНФРА-М, 2022. - 160 с. (о)</t>
  </si>
  <si>
    <t>ФОРМАЛЬНЫЕ ИСТОЧНИКИ ПРАВА</t>
  </si>
  <si>
    <t>Дробышевский С.А., Данцева Т.Н.</t>
  </si>
  <si>
    <t>978-5-91768-143-6</t>
  </si>
  <si>
    <t>678846.07.01</t>
  </si>
  <si>
    <t>Формальные сред. доказ. в уголов.праве и проц.: Моногр./ А.В.Смирнов-М.:Юр.Норма, НИЦ ИНФРА-М,2023-240с.(П)</t>
  </si>
  <si>
    <t>ФОРМАЛЬНЫЕ СРЕДСТВА ДОКАЗЫВАНИЯ В УГОЛОВНОМ ПРАВЕ И ПРОЦЕССЕ</t>
  </si>
  <si>
    <t>Смирнов А.В.</t>
  </si>
  <si>
    <t>978-5-91768-899-2</t>
  </si>
  <si>
    <t>644045.02.01</t>
  </si>
  <si>
    <t>Формирование гос.шк.права в Российской империи: Моногр. / А.Г.Чернявский-М.:НИЦ ИНФРА-М,2018-206с(П)</t>
  </si>
  <si>
    <t>ФОРМИРОВАНИЕ ГОСУДАРСТВЕННОЙ ШКОЛЫ ПРАВА В РОССИЙСКОЙ ИМПЕРИИ</t>
  </si>
  <si>
    <t>Чернявский А.Г., Грудцына Л.Ю.</t>
  </si>
  <si>
    <t>978-5-16-012374-5</t>
  </si>
  <si>
    <t>672657.03.01</t>
  </si>
  <si>
    <t>Формирование предп.общности в условиях трансформ..: Моногр./О.А.Соловьева-М.:НИЦ ИНФРА-М,2024-181с(О)</t>
  </si>
  <si>
    <t>ФОРМИРОВАНИЕ ПРЕДПРИНИМАТЕЛЬСКОЙ ОБЩНОСТИ В УСЛОВИЯХ ТРАНСФОРМАЦИИ ГОСУДАРСТВЕННОГО РЕГУЛИРОВАНИЯ ЭКОНОМИКИ</t>
  </si>
  <si>
    <t>Соловьева О.А.</t>
  </si>
  <si>
    <t>978-5-16-013507-6</t>
  </si>
  <si>
    <t>40.03.01, 38.03.01, 44.03.01</t>
  </si>
  <si>
    <t>314800.04.01</t>
  </si>
  <si>
    <t>Формирование системы альтерн.механ...: Науч.-практ.пос. / Н.И.Гайдаенко Шер - М.:НИЦ ИНФРА-М,ИЗиСП,2020-176с(О)</t>
  </si>
  <si>
    <t>ФОРМИРОВАНИЕ СИСТЕМЫ АЛЬТЕРНАТИВНЫХ МЕХАНИЗМОВ РАЗРЕШЕНИЯ СПОРОВ: БЕСКОНФЛИКТНОЕ ОБЩЕСТВО КАК ОСНОВА ПРОТИВОДЕЙСТВИЯ КОРРУПЦИИ</t>
  </si>
  <si>
    <t>Гайдаенко Шер Н.И., Семилютина Н.Г.</t>
  </si>
  <si>
    <t>978-5-16-010369-3</t>
  </si>
  <si>
    <t>753568.02.01</t>
  </si>
  <si>
    <t>Формирование совр. международно-правовой концепции... / А.Я.Капустин.-М.:НИЦ ИНФРА-М,2024.-264 с.(ИЗиСП)(О)</t>
  </si>
  <si>
    <t>ФОРМИРОВАНИЕ СОВРЕМЕННОЙ МЕЖДУНАРОДНО-ПРАВОВОЙ КОНЦЕПЦИИ ИССЛЕДОВАНИЯ И ИСПОЛЬЗОВАНИЯ КОСМИЧЕСКОГО ПРОСТРАНСТВА</t>
  </si>
  <si>
    <t>Капустин А.Я., Авхадеев В.Р., Головина А.А. и др.</t>
  </si>
  <si>
    <t>978-5-16-016815-9</t>
  </si>
  <si>
    <t>372700.03.01</t>
  </si>
  <si>
    <t>Формирование соц.-ценност.статуса юриста..: Моногр. /Л.А.Демина-М.:Юр.Норма,НИЦ ИНФРА-М,2019-192с(О)</t>
  </si>
  <si>
    <t>ФОРМИРОВАНИЕ СОЦИАЛЬНО-ЦЕННОСТНОГО СТАТУСА ЮРИСТА В ПРОЦЕССЕ ПРОФЕССИОНАЛЬНОГО ОБРАЗОВАНИЯ</t>
  </si>
  <si>
    <t>Демина Л.А., Гунибский М.Ш.</t>
  </si>
  <si>
    <t>978-5-91768-626-4</t>
  </si>
  <si>
    <t>475350.06.01</t>
  </si>
  <si>
    <t>Формирование транспорт. права в Рос.: историко-прав....: Моногр. / Л.В.Зарапина - М.:Альфа-М,2023-192с(П)</t>
  </si>
  <si>
    <t>ФОРМИРОВАНИЕ ТРАНСПОРТНОГО ПРАВА В РОССИИ: ИСТОРИКО-ПРАВОВОЕ ИССЛЕДОВАНИЕ</t>
  </si>
  <si>
    <t>Зарапина Л.В.</t>
  </si>
  <si>
    <t>978-5-98281-414-2</t>
  </si>
  <si>
    <t>670767.02.01</t>
  </si>
  <si>
    <t>Формы правления в странах СНГ / А.В.Нечкин - М.:Юр.Норма, НИЦ ИНФРА-М,2020 - 208 с.(П)</t>
  </si>
  <si>
    <t>ФОРМЫ ПРАВЛЕНИЯ В СТРАНАХ СНГ</t>
  </si>
  <si>
    <t>978-5-91768-874-9</t>
  </si>
  <si>
    <t>042400.27.01</t>
  </si>
  <si>
    <t>Хрестоматия по ист. гос. и права зар. стран: В 2т.Т.2. /Крашенинникова Н.А.-М:Норма: НИЦ ИНФРА-М, 2023-672с.(п)</t>
  </si>
  <si>
    <t>ХРЕСТОМАТИЯ ПО ИСТОРИИ ГОСУДАРСТВА И ПРАВА ЗАРУБЕЖНЫХ СТРАН</t>
  </si>
  <si>
    <t>978-5-91768-282-2</t>
  </si>
  <si>
    <t>Допущено Министерством образования РФ в качестве учебного пособия для студентов высших учебных заведений, обучающихся по специальности "Юриспруденция"</t>
  </si>
  <si>
    <t>681534.05.01</t>
  </si>
  <si>
    <t>Хрестоматия по истории гос. и права заруб.стран и римскому праву / И.А.Исаев-М.:Юр.Норма, НИЦ ИНФРА-М,2023-544с(П)</t>
  </si>
  <si>
    <t>ХРЕСТОМАТИЯ ПО ИСТОРИИ ГОСУДАРСТВА И ПРАВА ЗАРУБЕЖНЫХ СТРАН И РИМСКОМУ ПРАВУ</t>
  </si>
  <si>
    <t>978-5-91768-910-4</t>
  </si>
  <si>
    <t>042100.22.01</t>
  </si>
  <si>
    <t>Хрестоматия по истории гос.и права..: В 2т.Т.1 /Н.А.Крашенинникова-М.:Юр.Норма,НИЦ ИНФРА-М,2024-816с(П)</t>
  </si>
  <si>
    <t>ХРЕСТОМАТИЯ ПО ИСТОРИИ ГОСУДАРСТВА И ПРАВА ЗАРУБЕЖНЫХ СТРАН В 2 ТОМАХ, Т.1</t>
  </si>
  <si>
    <t>Крашенинникова Н.А., Лысенко О.Л., Трикоз Е.Н.</t>
  </si>
  <si>
    <t>978-5-91768-280-8</t>
  </si>
  <si>
    <t>331300.04.01</t>
  </si>
  <si>
    <t>Цивилизация права и развитие России: Моногр. / В.Д.Зорькин-М.:Юр.Норма, НИЦ ИНФРА-М,2016-416с.(П)</t>
  </si>
  <si>
    <t>ЦИВИЛИЗАЦИЯ ПРАВА И РАЗВИТИЕ РОССИИ, ИЗД.2</t>
  </si>
  <si>
    <t>978-5-91768-735-3</t>
  </si>
  <si>
    <t>332400.03.01</t>
  </si>
  <si>
    <t>Человек в правовой сфере: личн.-деят. подход: Моногр./ Р.В.Шагиева-М.:Норма:НИЦ ИНФРА-М,2019-208с(о)</t>
  </si>
  <si>
    <t>ЧЕЛОВЕК В ПРАВОВОЙ СФЕРЕ: ЛИЧНОСТНО-ДЕЯТЕЛЬНОСТНЫЙ ПОДХОД</t>
  </si>
  <si>
    <t>Шагиева Р. В., Казаков В. Н.</t>
  </si>
  <si>
    <t>978-5-91768-588-5</t>
  </si>
  <si>
    <t>103200.09.01</t>
  </si>
  <si>
    <t>Человек, право, цивилизации: нормат.-ценност. измер.:Моногр./Е.А.Лукашева -М.:Норма:ИНФРА-М,2024-384с(п)</t>
  </si>
  <si>
    <t>ЧЕЛОВЕК, ПРАВО, ЦИВИЛИЗАЦИИ: НОРМАТИВНО-ЦЕННОСТНОЕ ИЗМЕРЕНИЕ</t>
  </si>
  <si>
    <t>Лукашева Е. А.</t>
  </si>
  <si>
    <t>978-5-91768-398-0</t>
  </si>
  <si>
    <t>663005.05.01</t>
  </si>
  <si>
    <t>Эволюция древнеславянского права...: Моногр. / А.В.Серегин-М.:НИЦ ИНФРА-М,2023-324с.(Науч. мысль)(о)</t>
  </si>
  <si>
    <t>ЭВОЛЮЦИЯ ДРЕВНЕСЛАВЯНСКОГО ПРАВА (ЭПОХА СРЕДНЕВЕКОВЬЯ: ОТ ОБЩИННО-ВЕЧЕВЫХ ИСТОКОВ К КРЕПОСТНИЧЕСТВУ)</t>
  </si>
  <si>
    <t>Серегин А.В.</t>
  </si>
  <si>
    <t>978-5-16-018013-7</t>
  </si>
  <si>
    <t>797736.01.01</t>
  </si>
  <si>
    <t>Эволюция науки истории права и государства России (XVIII-XX вв.): Моногр.-М.:Юр. НОРМА,2023.-576 с.(п)</t>
  </si>
  <si>
    <t>ЭВОЛЮЦИЯ НАУКИ ИСТОРИИ ПРАВА И ГОСУДАРСТВА РОССИИ (XVIII-XX) ВЕКА</t>
  </si>
  <si>
    <t>Кожевина М.А., Ящук Т.Ф.</t>
  </si>
  <si>
    <t>978-5-00156-284-9</t>
  </si>
  <si>
    <t>803411.01.01</t>
  </si>
  <si>
    <t>Эволюция права под воздействием цифровых технологий: Моногр. / Р.В.Амелин-М.:Юр. НОРМА,2023.-280 с.(п)</t>
  </si>
  <si>
    <t>ЭВОЛЮЦИЯ ПРАВА ПОД ВОЗДЕЙСТВИЕМ ЦИФРОВЫХ ТЕХНОЛОГИЙ</t>
  </si>
  <si>
    <t>Амелин Р.В., Чаннов С.Е.</t>
  </si>
  <si>
    <t>978-5-00156-304-4</t>
  </si>
  <si>
    <t>710007.04.01</t>
  </si>
  <si>
    <t>Экологическая конфликтология... / О.Л.Дубовик - М.:Юр.Норма, НИЦ ИНФРА-М,2023 - 280 с.(П)</t>
  </si>
  <si>
    <t>ЭКОЛОГИЧЕСКАЯ КОНФЛИКТОЛОГИЯ (ПРЕДУПРЕЖДЕНИЕ И РАЗРЕШЕНИЕ ЭКОЛОГО-ПРАВОВЫХ КОНФЛИКТОВ)</t>
  </si>
  <si>
    <t>Дубовик О.Л.</t>
  </si>
  <si>
    <t>978-5-91768-982-1</t>
  </si>
  <si>
    <t>081550.11.01</t>
  </si>
  <si>
    <t>Экологическое право. Практикум: Уч.пос. / Е.И.Майорова - 3 изд. - М.:НИЦ ИНФРА-М,2022 - 133 с.(СПО)(П)</t>
  </si>
  <si>
    <t>ЭКОЛОГИЧЕСКОЕ ПРАВО. ПРАКТИКУМ, ИЗД.3</t>
  </si>
  <si>
    <t>Майорова Е.И., Попов В.А.</t>
  </si>
  <si>
    <t>978-5-16-014317-0</t>
  </si>
  <si>
    <t>40.02.01, 40.02.02</t>
  </si>
  <si>
    <t>Рекомендовано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 обучающихся по специальностям правоведческого профиля</t>
  </si>
  <si>
    <t>081550.08.01</t>
  </si>
  <si>
    <t>Экологическое право. Практикум: уч.пос. / Е.И.Майорова, - 2-е изд.-М.:ИД Форум, НИЦ ИНФРА-М,2018.-240 с..-(СПО)(п)</t>
  </si>
  <si>
    <t>ЭКОЛОГИЧЕСКОЕ ПРАВО. ПРАКТИКУМ, ИЗД.2</t>
  </si>
  <si>
    <t>Майорова Е. И., Попов В. А.</t>
  </si>
  <si>
    <t>978-5-8199-0491-6</t>
  </si>
  <si>
    <t>Допущено Министерством образования РФв качестве учебного пособия для студентов учреждений среднего профессионального образования, обучающихся по правоведческим специальностям</t>
  </si>
  <si>
    <t>036720.17.01</t>
  </si>
  <si>
    <t>Экологическое право: Уч. / Б.В.Ерофеев - 5 изд. - М.:ИД ФОРУМ,НИЦ ИНФРА-М,2023 - 399 с.(СПО) (П)</t>
  </si>
  <si>
    <t>ЭКОЛОГИЧЕСКОЕ ПРАВО, ИЗД.5</t>
  </si>
  <si>
    <t>Ерофеев Б.В.</t>
  </si>
  <si>
    <t>978-5-8199-0695-8</t>
  </si>
  <si>
    <t>Рекомендовано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специальностям правоведческого профиля</t>
  </si>
  <si>
    <t>726239.03.01</t>
  </si>
  <si>
    <t>Экологическое право: Уч. / Н.В.Барбашова - М.:НИЦ ИНФРА-М,2023 - 538 с.(ВО: Специалитет)(П)</t>
  </si>
  <si>
    <t>ЭКОЛОГИЧЕСКОЕ ПРАВО</t>
  </si>
  <si>
    <t>Барбашова Н.В.</t>
  </si>
  <si>
    <t>978-5-16-016098-6</t>
  </si>
  <si>
    <t>40.03.01, 00.03.08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</si>
  <si>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«юрист») (протокол № 6 от 16.06.2021)</t>
  </si>
  <si>
    <t>355600.13.01</t>
  </si>
  <si>
    <t>Экологическое право: Уч. / О.И.Крассов - 4 изд-М:Юр.Норма,НИЦ ИНФРА-М,2023-528с(Для юр.вузов и фак.)</t>
  </si>
  <si>
    <t>ЭКОЛОГИЧЕСКОЕ ПРАВО, ИЗД.4</t>
  </si>
  <si>
    <t>978-5-91768-632-5</t>
  </si>
  <si>
    <t>40.05.04, 40.02.01, 40.02.02, 40.03.01, 05.03.06, 40.05.01, 40.05.02, 40.05.03, 40.02.03</t>
  </si>
  <si>
    <t>777879.01.01</t>
  </si>
  <si>
    <t>Эколого-правовые огранич. и стимулы эконом. деят. в России / Н.И.Хлуденева - М.:НИЦ ИНФРА-М,2022-192 с.(П)</t>
  </si>
  <si>
    <t>ЭКОЛОГО-ПРАВОВЫЕ ОГРАНИЧЕНИЯ И СТИМУЛЫ ЭКОНОМИЧЕСКОЙ ДЕЯТЕЛЬНОСТИ В РОССИИ</t>
  </si>
  <si>
    <t>Хлуденева Н.И.</t>
  </si>
  <si>
    <t>978-5-16-017680-2</t>
  </si>
  <si>
    <t>38.04.04, 38.06.01, 38.03.01</t>
  </si>
  <si>
    <t>654747.08.01</t>
  </si>
  <si>
    <t>Экономический конституционализм России: очерки.. / Н.С.Бондарь-М.:Юр.Норма, НИЦ ИНФРА-М,2023-272с(П)</t>
  </si>
  <si>
    <t>ЭКОНОМИЧЕСКИЙ КОНСТИТУЦИОНАЛИЗМ РОССИИ: ОЧЕРКИ ТЕОРИИ И ПРАКТИКИ</t>
  </si>
  <si>
    <t>Бондарь Н.С.</t>
  </si>
  <si>
    <t>978-5-91768-829-9</t>
  </si>
  <si>
    <t>408850.08.01</t>
  </si>
  <si>
    <t>Экспертиза вреда здоровью. Психич..: Науч.-практ. пос./В.А. Клевно - М.: Норма: Инфра-М, 2024-176с. (о)</t>
  </si>
  <si>
    <t>ЭКСПЕРТИЗА ВРЕДА ЗДОРОВЬЮ. ПСИХИЧЕСКОЕ РАССТРОЙСТВО, ЗАБОЛЕВАНИЕ НАРКОМАНИЕЙ ЛИБО ТОКСИКОМАНИЕЙ</t>
  </si>
  <si>
    <t>Клевно В.А., Ткаченко А.А.</t>
  </si>
  <si>
    <t>978-5-91768-351-5</t>
  </si>
  <si>
    <t>40.03.01, 40.04.01, 40.05.03, 31.05.01, 32.05.01</t>
  </si>
  <si>
    <t>Бюро судебно-медицинской экспертизы</t>
  </si>
  <si>
    <t>219100.08.01</t>
  </si>
  <si>
    <t>Экспертиза вреда здоровью. Утрата общей..: Науч.-практ. пос./В.А.Клевно - Норма:ИНФРА-М, 2023-320с. (п)</t>
  </si>
  <si>
    <t>ЭКСПЕРТИЗА ВРЕДА ЗДОРОВЬЮ. УТРАТА ОБЩЕЙ И ПРОФЕССИОНАЛЬНОЙ ТРУДОСПОСОБНОСТИ</t>
  </si>
  <si>
    <t>Клевно В. А., Пузин С. Н.</t>
  </si>
  <si>
    <t>978-5-91768-405-5</t>
  </si>
  <si>
    <t>40.03.01, 32.04.01, 40.04.01, 31.05.01, 32.05.01, 31.08.10, 31.08.41</t>
  </si>
  <si>
    <t>729488.01.01</t>
  </si>
  <si>
    <t>Экспертиза нормативных прав.актов в сфере реализации промыш.полит.: Моногр.-М.:Юр.Норма,2020-216с(П)</t>
  </si>
  <si>
    <t>ЭКСПЕРТИЗА НОРМАТИВНЫХ ПРАВОВЫХ АКТОВ В СФЕРЕ РЕАЛИЗАЦИИ ПРОМЫШЛЕННОЙ ПОЛИТИКИ</t>
  </si>
  <si>
    <t>Дементьев А.Н., Дементьева О.А.</t>
  </si>
  <si>
    <t>978-5-00156-045-6</t>
  </si>
  <si>
    <t>764234.01.01</t>
  </si>
  <si>
    <t>Эксперты и экспертизы на страницах лит. произвед.: Уч.пос. / Е.А.Чубина - М.:Юр.Норма, НИЦ ИНФРА-М,2022 - 240 с.(П)</t>
  </si>
  <si>
    <t>ЭКСПЕРТЫ И ЭКСПЕРТИЗЫ НА СТРАНИЦАХ ЛИТЕРАТУРНЫХ ПРОИЗВЕДЕНИЙ</t>
  </si>
  <si>
    <t>978-5-00156-196-5</t>
  </si>
  <si>
    <t>776798.02.01</t>
  </si>
  <si>
    <t>Экстремизм: теория и противодействие: Сл.-справ. / В.О.Давыдов-М.:НИЦ ИНФРА-М,2023.-323 с.(п)</t>
  </si>
  <si>
    <t>ЭКСТРЕМИЗМ: ТЕОРИЯ И ПРОТИВОДЕЙСТВИЕ</t>
  </si>
  <si>
    <t>Давыдов В.О.</t>
  </si>
  <si>
    <t>978-5-16-017775-5</t>
  </si>
  <si>
    <t>Тульский государственный университет</t>
  </si>
  <si>
    <t>086240.07.01</t>
  </si>
  <si>
    <t>Эпоха глобализации и преступность: Монография/ В.В.Лунеев-М.:Юр.Норма, НИЦ ИНФРА-М,2024.-272 с.(О)</t>
  </si>
  <si>
    <t>ЭПОХА ГЛОБАЛИЗАЦИИ И ПРЕСТУПНОСТЬ</t>
  </si>
  <si>
    <t>Лунеев В.В.</t>
  </si>
  <si>
    <t>978-5-91768-636-3</t>
  </si>
  <si>
    <t>758090.02.01</t>
  </si>
  <si>
    <t>Этические основы предварит. расслед.: Моногр. / А.В.Закомолдин - М.:ИЦ РИОР, НИЦ ИНФРА-М,2022-110 с.(О)</t>
  </si>
  <si>
    <t>ЭТИЧЕСКИЕ ОСНОВЫ ПРЕДВАРИТЕЛЬНОГО РАССЛЕДОВАНИЯ</t>
  </si>
  <si>
    <t>Закомолдин А.В., Кудзилов Д.Б.</t>
  </si>
  <si>
    <t>978-5-369-01870-5</t>
  </si>
  <si>
    <t>747291.02.01</t>
  </si>
  <si>
    <t>Эффективность адм.-правовых санкций: Моногр. / Л.Л.Попов - М.:Юр.Норма, НИЦ ИНФРА-М,2022 - 216 с.(П)</t>
  </si>
  <si>
    <t>ЭФФЕКТИВНОСТЬ АДМИНИСТРАТИВНО-ПРАВОВЫХ САНКЦИЙ</t>
  </si>
  <si>
    <t>978-5-00156-101-9</t>
  </si>
  <si>
    <t>445900.02.01</t>
  </si>
  <si>
    <t>Эффективность законод.: вопросы теор. и практ.: Моногр. /Ю.А.Тихомиров -М.:НИЦ ИНФРА-М, 2016-336 (ИЗиСП)(п)</t>
  </si>
  <si>
    <t>ЭФФЕКТИВНОСТЬ ЗАКОНОДАТЕЛЬСТВА: ВОПРОСЫ ТЕОРИИ И ПРАКТИКА</t>
  </si>
  <si>
    <t>Тихомиров Ю.А., Емельянцев В.П., Аюрова А.А. и др.</t>
  </si>
  <si>
    <t>978-5-16-011394-4</t>
  </si>
  <si>
    <t>648909.08.01</t>
  </si>
  <si>
    <t>Юридическая  психология: Практ. / Т.В.Мальцева - М.:ИЦ РИОР, НИЦ ИНФРА-М,2023 - 147с(ВО)(О)</t>
  </si>
  <si>
    <t>ЮРИДИЧЕСКАЯ ПСИХОЛОГИЯ</t>
  </si>
  <si>
    <t>978-5-369-01679-4</t>
  </si>
  <si>
    <t>645470.04.01</t>
  </si>
  <si>
    <t>Юридическая диалогика: Уч.пос. / Н.А.Абрамова - М.:Юр.Норма, НИЦ ИНФРА-М,2022 - 192 с.(П)</t>
  </si>
  <si>
    <t>ЮРИДИЧЕСКАЯ ДИАЛОГИКА</t>
  </si>
  <si>
    <t>Абрамова Н.А.</t>
  </si>
  <si>
    <t>978-5-91768-782-7</t>
  </si>
  <si>
    <t>465150.04.01</t>
  </si>
  <si>
    <t>Юридическая защита прав и закон. интересов..:Уч.-практ.пос./А.Ф.Волынский-Норма:ИНФРА-М,2019-256с(о)</t>
  </si>
  <si>
    <t>ЮРИДИЧЕСКАЯ ЗАЩИТА ПРАВ И ЗАКОННЫХ ИНТЕРЕСОВ ПОТРЕБИТЕЛЕЙ ТОВАРОВ И УСЛУГ: ОСОБЕННОСТИ СОВРЕМЕННОЙ ПАРАДИГМЫ</t>
  </si>
  <si>
    <t>Волынский А. Ф., Прорвич В. А.</t>
  </si>
  <si>
    <t>978-5-91768-473-4</t>
  </si>
  <si>
    <t>40.05.04, 40.02.01, 40.03.01, 40.04.01, 40.05.01, 40.05.02, 40.05.03</t>
  </si>
  <si>
    <t>775243.01.01</t>
  </si>
  <si>
    <t>Юридическая конфликтология: теория и ..: Уч.пос. / Марченко М.Н. - М.:Юр.Норма, НИЦ ИНФРА-М,2022-296 с.(П)</t>
  </si>
  <si>
    <t>ЮРИДИЧЕСКАЯ КОНФЛИКТОЛОГИЯ: ТЕОРИЯ И МЕТОДОЛОГИЯ ИССЛЕДОВАНИЯ</t>
  </si>
  <si>
    <t>Марченко М.Н., Куксин И.Н., Дерябина Е.М. и др.</t>
  </si>
  <si>
    <t>978-5-00156-231-3</t>
  </si>
  <si>
    <t>40.05.04, 40.03.01, 40.04.01, 40.05.01, 40.05.02, 40.05.03, 37.03.02</t>
  </si>
  <si>
    <t>356800.10.01</t>
  </si>
  <si>
    <t>Юридическая конфликтология: Уч.пос. / М.Ш.Гунибский - М.:Юр.Норма, НИЦ ИНФРА-М,2024.-176 с.(о)</t>
  </si>
  <si>
    <t>ЮРИДИЧЕСКАЯ КОНФЛИКТОЛОГИЯ</t>
  </si>
  <si>
    <t>Гунибский М.Ш.</t>
  </si>
  <si>
    <t>978-5-91768-613-4</t>
  </si>
  <si>
    <t>40.05.04, 40.03.01, 40.04.01, 40.05.01, 40.05.02, 40.05.03, 38.03.03, 37.03.02, 44.03.05</t>
  </si>
  <si>
    <t>757873.02.01</t>
  </si>
  <si>
    <t>Юридическая отв. в правовой сис. России: Моногр. / А.В.Малько - М.:ИЦ РИОР, НИЦ ИНФРА-М,2022-590 с.(Науч.мысль)(П)</t>
  </si>
  <si>
    <t>ЮРИДИЧЕСКАЯ ОТВЕТСТВЕННОСТЬ В ПРАВОВОЙ СИСТЕМЕ РОССИИ</t>
  </si>
  <si>
    <t>Липинский Д.А., Макарейко Н.В., Станкин А.Н. и др.</t>
  </si>
  <si>
    <t>978-5-369-01891-0</t>
  </si>
  <si>
    <t>775334.01.01</t>
  </si>
  <si>
    <t>Юридическая отв. в правовой системе России / Под ред. Малько А.В. - М.:ИЦ РИОР, НИЦ ИНФРА-М,2022-263 с.(П)</t>
  </si>
  <si>
    <t>Липинский Д.А., Малько А.В., Мусаткина А.А. и др.</t>
  </si>
  <si>
    <t>978-5-369-01905-4</t>
  </si>
  <si>
    <t>444350.04.01</t>
  </si>
  <si>
    <t>Юридическая ответствен., санкции..:Моногр./Д.А.Липинский-М:ИЦ РИОР,НИЦ ИНФРА-М,2021-139с(Науч.мысль)</t>
  </si>
  <si>
    <t>ЮРИДИЧЕСКАЯ ОТВЕТСТВЕННОСТЬ, САНКЦИИ И МЕРЫ ЗАЩИТЫ</t>
  </si>
  <si>
    <t>Липинский Д. А., Мусаткина А. А.</t>
  </si>
  <si>
    <t>978-5-369-01226-0</t>
  </si>
  <si>
    <t>248100.05.01</t>
  </si>
  <si>
    <t>Юридическая ответственность: совр. вызовы..: Сборник / Н.Г.Доронина-М.:НИЦ ИНФРА-М,ИЗиСП,2017-304с.</t>
  </si>
  <si>
    <t>ЮРИДИЧЕСКАЯ ОТВЕТСТВЕННОСТЬ: СОВРЕМЕННЫЕ ВЫЗОВЫ И РЕШЕНИЯ: МАТЕРИАЛЫ ДЛЯ VIII ЕЖЕГОДНЫХ НАУЧНЫХ ЧТЕНИЙ ПАМЯТИ ПРОФЕССОРА С.Н. БРАТУСЯ</t>
  </si>
  <si>
    <t>Доронина Н.Г.</t>
  </si>
  <si>
    <t>978-5-16-010789-9</t>
  </si>
  <si>
    <t>40.04.01, 40.05.02, 40.06.01, 44.03.05</t>
  </si>
  <si>
    <t>088650.14.01</t>
  </si>
  <si>
    <t>Юридическая педагогика: Уч. /К.М.Левитан - 2 изд. -М.:Юр.Норма,НИЦ ИНФРА-М,2024-416с.(П)</t>
  </si>
  <si>
    <t>ЮРИДИЧЕСКАЯ ПЕДАГОГИКА, ИЗД.2</t>
  </si>
  <si>
    <t>Левитан К. М.</t>
  </si>
  <si>
    <t>978-5-91768-623-3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</si>
  <si>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учебника для студентов вузов, обучающихся по направлению "Юриспруденция"</t>
  </si>
  <si>
    <t>059800.14.01</t>
  </si>
  <si>
    <t>Юридическая психология....: Уч. /М.И.Еникеев - 2 изд., -М.:Юр.Норма, НИЦ ИНФРА-М,2021.-640с(П)</t>
  </si>
  <si>
    <t>ЮРИДИЧЕСКАЯ ПСИХОЛОГИЯ. С ОСНОВАМИ ОБЩЕЙ И СОЦИАЛЬНОЙ ПСИХОЛОГИИ, ИЗД.2</t>
  </si>
  <si>
    <t>Еникеев М. И.</t>
  </si>
  <si>
    <t>978-5-91768-251-8</t>
  </si>
  <si>
    <t>031750.12.01</t>
  </si>
  <si>
    <t>Юридическая психология: Краткий учебный курс / М.И. Еникеев - М.: НОРМА: ИНФРА-М, 2022 - 256 с. (о)</t>
  </si>
  <si>
    <t>978-5-89123-550-2</t>
  </si>
  <si>
    <t>40.02.02, 40.03.01, 40.04.01, 44.03.05</t>
  </si>
  <si>
    <t>017945.21.01</t>
  </si>
  <si>
    <t>Юридическая психология: Уч. / М.И.Еникеев - М.:Юр.Норма, НИЦ ИНФРА-М, 2023. - 512 с.(п)</t>
  </si>
  <si>
    <t>978-5-91768-387-4</t>
  </si>
  <si>
    <t>37.03.01, 40.03.01, 40.04.01, 37.05.02, 37.05.01, 44.05.01, 44.03.05, 44.03.02</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</si>
  <si>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</si>
  <si>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148950.10.01</t>
  </si>
  <si>
    <t>Юридическая психология: Уч. пос. / Е.Ю. Николаева, М.Ю. Плетнев. - М.: ИЦ РИОР, 2023-94с. (о) к/ф</t>
  </si>
  <si>
    <t>Николаева Е. Ю., Плетнев М. Ю.</t>
  </si>
  <si>
    <t>978-5-369-00621-4</t>
  </si>
  <si>
    <t>40.05.04, 40.02.02, 40.03.01, 40.04.01, 40.05.01, 40.05.02, 40.05.03, 44.03.05</t>
  </si>
  <si>
    <t>Консалтинговая фирма "Verona-Ltd"</t>
  </si>
  <si>
    <t>176650.07.01</t>
  </si>
  <si>
    <t>Юридическая психология: Уч. пос. / И.В. Хамидова - М.: ИЦ РИОР:НИЦ Инфра-М, 2023 - 176 с. (ВО) (п)</t>
  </si>
  <si>
    <t>Хамидова И. В.</t>
  </si>
  <si>
    <t>978-5-369-01043-3</t>
  </si>
  <si>
    <t>Московский университет Министерства внутренних дел Российской Федерации им. В.Я. Кикотя,  Московский областной ф-л</t>
  </si>
  <si>
    <t>633579.05.01</t>
  </si>
  <si>
    <t>Юридическая психология: Уч.пос. / А.М.Шевченко - М.:ИЦ РИОР,НИЦ ИНФРА-М,2022-270с.(ВО:Бакалавр.)(П)</t>
  </si>
  <si>
    <t>Шевченко А.М., Самыгин С.И.</t>
  </si>
  <si>
    <t>978-5-369-01581-0</t>
  </si>
  <si>
    <t>294400.12.01</t>
  </si>
  <si>
    <t>Юридическая риторика: Уч. / Л.А.Брусенская и др. - М.:Юр.Норма, НИЦ ИНФРА-М,2023 - 288 с.(П)</t>
  </si>
  <si>
    <t>ЮРИДИЧЕСКАЯ РИТОРИКА</t>
  </si>
  <si>
    <t>Брусенская Л.А., Куликова Э.Г., Беляева И.В.</t>
  </si>
  <si>
    <t>978-5-91768-605-9</t>
  </si>
  <si>
    <t>018329.12.01</t>
  </si>
  <si>
    <t>Юридическая статистика: Уч. / В.В.Лунеев - 3 изд. - М.:Юр.Норма,НИЦ ИНФРА-М,2019 - 448 с.(П)</t>
  </si>
  <si>
    <t>ЮРИДИЧЕСКАЯ СТАТИСТИКА, ИЗД.3</t>
  </si>
  <si>
    <t>Лунеев В. В.</t>
  </si>
  <si>
    <t>978-5-91768-088-0</t>
  </si>
  <si>
    <t>019399.23.01</t>
  </si>
  <si>
    <t>Юридическая этика: Уч. / П.А.Кобликов - 3 изд., изм. - М.:Юр.Норма, НИЦ ИНФРА-М,2023 - 176 с.(О)</t>
  </si>
  <si>
    <t>ЮРИДИЧЕСКАЯ ЭТИКА, ИЗД.3</t>
  </si>
  <si>
    <t>Кобликов П.А.</t>
  </si>
  <si>
    <t>978-5-91768-261-7</t>
  </si>
  <si>
    <t>652383.04.01</t>
  </si>
  <si>
    <t>Юридические лица в рос. гражд. праве: Моногр.: В 3 т.Т.2 / А.А.Аюрова и др.-М.:НИЦ ИНФРА-М,2022-352с</t>
  </si>
  <si>
    <t>ЮРИДИЧЕСКИЕ ЛИЦА В РОССИЙСКОМ ГРАЖДАНСКОМ ПРАВЕ, Т.2</t>
  </si>
  <si>
    <t>Аюрова А.А., Беляева О.А., Вильданова М.М. и др.</t>
  </si>
  <si>
    <t>978-5-16-011814-7</t>
  </si>
  <si>
    <t>652388.04.01</t>
  </si>
  <si>
    <t>Юридические лица в рос. гражд. праве: Моногр.: В 3 т.Т.3 / А.В.Габов - М.:НИЦ ИНФРА-М,2023-280с.(П)</t>
  </si>
  <si>
    <t>ЮРИДИЧЕСКИЕ ЛИЦА В РОССИЙСКОМ ГРАЖДАНСКОМ ПРАВЕ, Т.3</t>
  </si>
  <si>
    <t>Габов А.В., Гасников К.Д., Емельянцев В.П. и др.</t>
  </si>
  <si>
    <t>978-5-16-011815-4</t>
  </si>
  <si>
    <t>652378.03.01</t>
  </si>
  <si>
    <t>Юридические лица в рос.гражд.праве: Моногр.: В 3т.Т.1 / А.В.Габов -НИЦ ИНФРА-М,2020-384с.(ИЗиСП)(п)</t>
  </si>
  <si>
    <t>ЮРИДИЧЕСКИЕ ЛИЦА В РОССИЙСКОМ ГРАЖДАНСКОМ ПРАВЕ, Т.1</t>
  </si>
  <si>
    <t>Габов А.В., Гутников О.В., Доронина Н.Г. и др.</t>
  </si>
  <si>
    <t>978-5-16-011513-9</t>
  </si>
  <si>
    <t>646031.08.01</t>
  </si>
  <si>
    <t>Юридические факты в советском праве / В.Б.Исаков - М.:Юр.Норма,НИЦ ИНФРА-М,2023 - 144 с.(П)</t>
  </si>
  <si>
    <t>ЮРИДИЧЕСКИЕ ФАКТЫ В СОВЕТСКОМ ПРАВЕ</t>
  </si>
  <si>
    <t>978-5-91768-792-6</t>
  </si>
  <si>
    <t>673550.03.01</t>
  </si>
  <si>
    <t>Юридический конфликт: Монография / О.А.Акопян и др.-М.:НИЦ ИНФРА-М,2019.-312 с..-(ИЗиСП)(П)</t>
  </si>
  <si>
    <t>ЮРИДИЧЕСКИЙ КОНФЛИКТ</t>
  </si>
  <si>
    <t>Акопян О.А., Бальхаева С.Б., Головина А.А. и др.</t>
  </si>
  <si>
    <t>978-5-16-013468-0</t>
  </si>
  <si>
    <t>083150.09.01</t>
  </si>
  <si>
    <t>Юридическое лицо публичного права: Монография /В.Е.Чиркин - М.:НОРМА,2022.-352 с.(П)</t>
  </si>
  <si>
    <t>ЮРИДИЧЕСКОЕ ЛИЦО ПУБЛИЧНОГО ПРАВА</t>
  </si>
  <si>
    <t>978-5-468-00082-3</t>
  </si>
  <si>
    <t>764217.02.01</t>
  </si>
  <si>
    <t>Юридическое обр. в России и за рубежом: Моногр. / Т.Бочаров - М.:Юр. НОРМА, НИЦ ИНФРА-М,2022-232 с.(О)</t>
  </si>
  <si>
    <t>ЮРИДИЧЕСКОЕ ОБРАЗОВАНИЕ В РОССИИ И ЗА РУБЕЖОМ: МЕЖДУ УНИВЕРСИТЕТОМ, ПРОФЕССИЕЙ, ГОСУДАРСТВОМ И РЫНКОМ</t>
  </si>
  <si>
    <t>Бочаров Т., Дмитриева А.</t>
  </si>
  <si>
    <t>978-5-00156-192-7</t>
  </si>
  <si>
    <t>371800.03.01</t>
  </si>
  <si>
    <t>Юридическое образование в России: история, совр... / А.В.Борисов -М.:Юр.Норма,НИЦ ИНФРА-М,2019-208с.(о)</t>
  </si>
  <si>
    <t>ЮРИДИЧЕСКОЕ ОБРАЗОВАНИЕ В РОССИИ: ИСТОРИЯ, СОВРЕМЕННОСТЬ, ПЕРСПЕКТИВЫ РАЗВИТИЯ</t>
  </si>
  <si>
    <t>Борисов А.В., Корнев А.В., Петручак Л.А.</t>
  </si>
  <si>
    <t>978-5-91768-622-6</t>
  </si>
  <si>
    <t>40.03.01, 40.04.01, 44.03.01, 44.03.05</t>
  </si>
  <si>
    <t>106200.09.01</t>
  </si>
  <si>
    <t>Юристу о нормах правописания: Практ.пос. / Н.Н.Ивакина - М.: Юр.Норма, НИЦ ИНФРА-М,2018 - 288 с.(П)</t>
  </si>
  <si>
    <t>ЮРИСТУ О НОРМАХ ПРАВОПИСАНИЯ</t>
  </si>
  <si>
    <t>978-5-91768-357-7</t>
  </si>
  <si>
    <t>661930.08.01</t>
  </si>
  <si>
    <t>Язык права: Моногр. / Н.А.Власенко - М.:Юр.Норма, НИЦ ИНФРА-М,2023 - 176 с.(П)</t>
  </si>
  <si>
    <t>ЯЗЫК ПРАВА</t>
  </si>
  <si>
    <t>978-5-91768-885-5</t>
  </si>
  <si>
    <t>00.00.00</t>
  </si>
  <si>
    <t>ОБЩИЕ ДИСЦИПЛИНЫ ДЛЯ ВСЕХ СПЕЦИАЛЬНОСТЕЙ</t>
  </si>
  <si>
    <t>Правовое обеспечение профессиональной деятельности</t>
  </si>
  <si>
    <t>00.02.22</t>
  </si>
  <si>
    <t>Охрана труда</t>
  </si>
  <si>
    <t>00.03.01</t>
  </si>
  <si>
    <t>Безопасность жизнедеятельности</t>
  </si>
  <si>
    <t>Правоведение</t>
  </si>
  <si>
    <t>00.03.40</t>
  </si>
  <si>
    <t>Химия(общая, неорганическая)</t>
  </si>
  <si>
    <t>00.05.01</t>
  </si>
  <si>
    <t>02.00.00</t>
  </si>
  <si>
    <t>КОМПЬЮТЕРНЫЕ И ИНФОРМАЦИОННЫЕ НАУКИ</t>
  </si>
  <si>
    <t>02.03.03</t>
  </si>
  <si>
    <t>Механика и математическое моделирование</t>
  </si>
  <si>
    <t>05.00.00</t>
  </si>
  <si>
    <t>НАУКИ О ЗЕМЛЕ</t>
  </si>
  <si>
    <t>05.02.01</t>
  </si>
  <si>
    <t>Картография</t>
  </si>
  <si>
    <t>05.03.02</t>
  </si>
  <si>
    <t>География</t>
  </si>
  <si>
    <t>05.03.06</t>
  </si>
  <si>
    <t>Экология и природопользование</t>
  </si>
  <si>
    <t>05.04.06</t>
  </si>
  <si>
    <t>05.06.01</t>
  </si>
  <si>
    <t>Науки о земле</t>
  </si>
  <si>
    <t>06.00.00</t>
  </si>
  <si>
    <t>БИОЛОГИЧЕСКИЕ НАУКИ</t>
  </si>
  <si>
    <t>06.03.02</t>
  </si>
  <si>
    <t>Почвоведение</t>
  </si>
  <si>
    <t>06.04.01</t>
  </si>
  <si>
    <t>Биология</t>
  </si>
  <si>
    <t>06.06.01</t>
  </si>
  <si>
    <t>Биологические науки</t>
  </si>
  <si>
    <t>07.00.00</t>
  </si>
  <si>
    <t>АРХИТЕКТУРА</t>
  </si>
  <si>
    <t>07.03.04</t>
  </si>
  <si>
    <t>Градостроительство</t>
  </si>
  <si>
    <t>07.04.04</t>
  </si>
  <si>
    <t>08.00.00</t>
  </si>
  <si>
    <t>ТЕХНИКА И ТЕХНОЛОГИИ СТРОИТЕЛЬСТВА</t>
  </si>
  <si>
    <t>08.01.21</t>
  </si>
  <si>
    <t>Монтажник электрических подъемников (лифтов)</t>
  </si>
  <si>
    <t>08.01.26</t>
  </si>
  <si>
    <t>Мастер по ремонту и обслуживанию инженерных систем жилищно-коммунального хозяйства</t>
  </si>
  <si>
    <t>08.02.01</t>
  </si>
  <si>
    <t>Строительство и эксплуатация зданий и сооружений</t>
  </si>
  <si>
    <t>08.02.03</t>
  </si>
  <si>
    <t>Производство неметаллических строительных изделий и конструкций</t>
  </si>
  <si>
    <t>08.02.07</t>
  </si>
  <si>
    <t>Монтаж и эксплуатация внутренних сантехнических устройств, кондиционирования воздуха и вентиляции</t>
  </si>
  <si>
    <t>08.02.08</t>
  </si>
  <si>
    <t>Монтаж и эксплуатация оборудования и систем газоснабжения</t>
  </si>
  <si>
    <t>08.05.01</t>
  </si>
  <si>
    <t>Строительство уникальных зданий и сооружений</t>
  </si>
  <si>
    <t>09.00.00</t>
  </si>
  <si>
    <t>ИНФОРМАТИКА И ВЫЧИСЛИТЕЛЬНАЯ ТЕХНИКА</t>
  </si>
  <si>
    <t>09.03.03</t>
  </si>
  <si>
    <t>Прикладная информатика</t>
  </si>
  <si>
    <t>10.00.00</t>
  </si>
  <si>
    <t>ИНФОРМАЦИОННАЯ БЕЗОПАСНОСТЬ</t>
  </si>
  <si>
    <t>10.02.04</t>
  </si>
  <si>
    <t>Обеспечение информационной безопасности телекоммуникационных систем</t>
  </si>
  <si>
    <t>10.05.03</t>
  </si>
  <si>
    <t>Информационная безопасность автоматизированных систем</t>
  </si>
  <si>
    <t>10.05.04</t>
  </si>
  <si>
    <t>Информационно-аналитические системы безопасности</t>
  </si>
  <si>
    <t>10.05.05</t>
  </si>
  <si>
    <t>Безопасность информационых технологий в правоохранительной сфере</t>
  </si>
  <si>
    <t>10.06.01</t>
  </si>
  <si>
    <t>Информационная безопасность</t>
  </si>
  <si>
    <t>13.00.00</t>
  </si>
  <si>
    <t>ЭЛЕКТРО- И ТЕПЛОЭНЕРГЕТИКА</t>
  </si>
  <si>
    <t>13.02.01</t>
  </si>
  <si>
    <t>Тепловые электрические станции</t>
  </si>
  <si>
    <t>13.02.07</t>
  </si>
  <si>
    <t>Электроснабжение (по отраслям)</t>
  </si>
  <si>
    <t>13.03.01</t>
  </si>
  <si>
    <t>Теплоэнергетика и теплотехника</t>
  </si>
  <si>
    <t>13.03.03</t>
  </si>
  <si>
    <t>Энергетическое машиностроение</t>
  </si>
  <si>
    <t>13.04.01</t>
  </si>
  <si>
    <t>13.04.03</t>
  </si>
  <si>
    <t>14.00.00</t>
  </si>
  <si>
    <t>ЯДЕРНАЯ ЭНЕРГЕТИКА И ТЕХНОЛОГИИ</t>
  </si>
  <si>
    <t>14.02.01</t>
  </si>
  <si>
    <t>Атомные электрические станции и установки</t>
  </si>
  <si>
    <t>15.00.00</t>
  </si>
  <si>
    <t>МАШИНОСТРОЕНИЕ</t>
  </si>
  <si>
    <t>15.02.03</t>
  </si>
  <si>
    <t>Техническая эксплуатация гидравлических машин, гидроприводов и гидропневмоавтоматики</t>
  </si>
  <si>
    <t>15.02.11</t>
  </si>
  <si>
    <t>Техническая эксплуатация и обслуживание роботизированного производства</t>
  </si>
  <si>
    <t>15.02.14</t>
  </si>
  <si>
    <t>Оснащение средствами автоматизации технологических процессов и производств (по отраслям)</t>
  </si>
  <si>
    <t>15.02.15</t>
  </si>
  <si>
    <t>Технология металлообрабатывающего производства</t>
  </si>
  <si>
    <t>15.03.01</t>
  </si>
  <si>
    <t>Машиностроение</t>
  </si>
  <si>
    <t>15.03.02</t>
  </si>
  <si>
    <t>Технологические машины и оборудование</t>
  </si>
  <si>
    <t>15.03.03</t>
  </si>
  <si>
    <t>Прикладная механика</t>
  </si>
  <si>
    <t>15.03.04</t>
  </si>
  <si>
    <t>Автоматизация технологических процессов и производств</t>
  </si>
  <si>
    <t>15.03.05</t>
  </si>
  <si>
    <t>Конструкторско-технологическое обеспечение машиностроительных производств</t>
  </si>
  <si>
    <t>15.03.06</t>
  </si>
  <si>
    <t>Мехатроника и роботехника</t>
  </si>
  <si>
    <t>15.04.01</t>
  </si>
  <si>
    <t>15.04.04</t>
  </si>
  <si>
    <t>19.00.00</t>
  </si>
  <si>
    <t>ПРОМЫШЛЕННАЯ ЭКОЛОГИЯ И БИОТЕХНОЛОГИИ</t>
  </si>
  <si>
    <t>19.01.09</t>
  </si>
  <si>
    <t>Наладчик оборудования в производстве пищевой продукции (по отраслям производства)</t>
  </si>
  <si>
    <t>19.01.17</t>
  </si>
  <si>
    <t>Повар, кондитер</t>
  </si>
  <si>
    <t>19.02.10</t>
  </si>
  <si>
    <t>Технология продукции общественного питания</t>
  </si>
  <si>
    <t>20.00.00</t>
  </si>
  <si>
    <t>ТЕХНОСФЕРНАЯ БЕЗОПАСНОСТЬ И ПРИРОДООБУСТРОЙСТВО</t>
  </si>
  <si>
    <t>20.02.01</t>
  </si>
  <si>
    <t>Рациональное использование природохозяйственных комплексов</t>
  </si>
  <si>
    <t>20.03.01</t>
  </si>
  <si>
    <t>Техносферная безопасность</t>
  </si>
  <si>
    <t>20.03.02</t>
  </si>
  <si>
    <t>Природообустройство и водопользование</t>
  </si>
  <si>
    <t>20.04.01</t>
  </si>
  <si>
    <t>20.04.02</t>
  </si>
  <si>
    <t>20.06.01</t>
  </si>
  <si>
    <t>Техносферная безопасность</t>
  </si>
  <si>
    <t>21.00.00</t>
  </si>
  <si>
    <t>ПРИКЛАДНАЯ ГЕОЛОГИЯ, ГОРНОЕ ДЕЛО, НЕФТЕГАЗОВОЕ ДЕЛО И ГЕОДЕЗИЯ</t>
  </si>
  <si>
    <t>Землеустройство</t>
  </si>
  <si>
    <t>21.02.05</t>
  </si>
  <si>
    <t>Земельно-имущественные отношения</t>
  </si>
  <si>
    <t>21.02.09</t>
  </si>
  <si>
    <t>Гидрогеология и инженерная геология</t>
  </si>
  <si>
    <t>21.02.10</t>
  </si>
  <si>
    <t>Геология и разведка нефтяных и газовых месторождений</t>
  </si>
  <si>
    <t>21.02.12</t>
  </si>
  <si>
    <t>Технология и техника разведки месторождений полезных ископаемых</t>
  </si>
  <si>
    <t>21.02.13</t>
  </si>
  <si>
    <t>Геологическая съемка, поиски и разведка месторождений полезных ископаемых</t>
  </si>
  <si>
    <t>21.03.01</t>
  </si>
  <si>
    <t>Нефтегазовое дело</t>
  </si>
  <si>
    <t>Землеустройство и кадастры</t>
  </si>
  <si>
    <t>21.04.02</t>
  </si>
  <si>
    <t>21.05.05</t>
  </si>
  <si>
    <t>Физические процессы горного или нефтегазового производства</t>
  </si>
  <si>
    <t>21.05.06</t>
  </si>
  <si>
    <t>Нефтегазовые техника и технологии</t>
  </si>
  <si>
    <t>23.00.00</t>
  </si>
  <si>
    <t>ТЕХНИКА И ТЕХНОЛОГИИ НАЗЕМНОГО ТРАНСПОРТА</t>
  </si>
  <si>
    <t>23.01.03</t>
  </si>
  <si>
    <t>Автомеханик</t>
  </si>
  <si>
    <t>23.01.17</t>
  </si>
  <si>
    <t>Мастер по ремонту и обслуживанию автомобилей</t>
  </si>
  <si>
    <t>23.02.02</t>
  </si>
  <si>
    <t>Автомобиле- и тракторостроение</t>
  </si>
  <si>
    <t>23.02.03</t>
  </si>
  <si>
    <t>Техническое обслуживание и ремонт автомобильного транспорта</t>
  </si>
  <si>
    <t>23.02.07</t>
  </si>
  <si>
    <t>Техническое обслуживание и ремонт двигателей, систем и агрегатов автомобилей</t>
  </si>
  <si>
    <t>23.03.01</t>
  </si>
  <si>
    <t>Технология транспортных процессов</t>
  </si>
  <si>
    <t>23.03.03</t>
  </si>
  <si>
    <t>Эксплуатация транспортно-технологических машин и комплексов</t>
  </si>
  <si>
    <t>23.04.01</t>
  </si>
  <si>
    <t>23.04.03</t>
  </si>
  <si>
    <t>24.00.00</t>
  </si>
  <si>
    <t>АВИАЦИОННАЯ И РАКЕТНО-КОСМИЧЕСКАЯ ТЕХНИКА</t>
  </si>
  <si>
    <t>24.02.01</t>
  </si>
  <si>
    <t>Производство летательных аппаратов</t>
  </si>
  <si>
    <t>25.00.00</t>
  </si>
  <si>
    <t>АЭРОНАВИГАЦИЯ И ЭКСПЛУАТАЦИЯ АВИАЦИОННОЙ И РАКЕТНО-КОСМИЧЕСКОЙ ТЕХНИКИ</t>
  </si>
  <si>
    <t>25.02.01</t>
  </si>
  <si>
    <t>Техническая эксплуатация летательных аппаратов и двигателей</t>
  </si>
  <si>
    <t>25.02.04</t>
  </si>
  <si>
    <t>Летная эксплуатация летательных аппаратов</t>
  </si>
  <si>
    <t>25.02.07</t>
  </si>
  <si>
    <t>Техническое обслуживание авиационных двигателей</t>
  </si>
  <si>
    <t>26.00.00</t>
  </si>
  <si>
    <t>ТЕХНИКА И ТЕХНОЛОГИИ КОРАБЛЕСТРОЕНИЯ И ВОДНОГО ТРАНСПОРТА</t>
  </si>
  <si>
    <t>26.02.04</t>
  </si>
  <si>
    <t>Монтаж и техническое обслуживание судовых машин и механизмов</t>
  </si>
  <si>
    <t>26.04.01</t>
  </si>
  <si>
    <t>Управление водным транспортом и гидрографическое обеспечение судоходства</t>
  </si>
  <si>
    <t>26.05.05</t>
  </si>
  <si>
    <t>Судовождение</t>
  </si>
  <si>
    <t>27.00.00</t>
  </si>
  <si>
    <t>УПРАВЛЕНИЕ В ТЕХНИЧЕСКИХ СИСТЕМАХ</t>
  </si>
  <si>
    <t>27.04.07</t>
  </si>
  <si>
    <t>Наукоемкие технологии и экономика инноваций</t>
  </si>
  <si>
    <t>29.00.00</t>
  </si>
  <si>
    <t>ТЕХНОЛОГИИ ЛЕГКОЙ ПРОМЫШЛЕННОСТИ</t>
  </si>
  <si>
    <t>29.04.01</t>
  </si>
  <si>
    <t>Технология изделий легкой промышленности</t>
  </si>
  <si>
    <t>29.04.02</t>
  </si>
  <si>
    <t>Технологии и проектирование техстильных изделий</t>
  </si>
  <si>
    <t>29.04.03</t>
  </si>
  <si>
    <t>Технология полиграфического и упаковочного производства</t>
  </si>
  <si>
    <t>31.00.00</t>
  </si>
  <si>
    <t>КЛИНИЧЕСКАЯ МЕДИЦИНА</t>
  </si>
  <si>
    <t>31.02.01</t>
  </si>
  <si>
    <t>Лечебное дело</t>
  </si>
  <si>
    <t>31.02.06</t>
  </si>
  <si>
    <t>Стоматология профилактическая</t>
  </si>
  <si>
    <t>31.05.01</t>
  </si>
  <si>
    <t>31.05.02</t>
  </si>
  <si>
    <t>Педиатрия</t>
  </si>
  <si>
    <t>31.05.03</t>
  </si>
  <si>
    <t>Стоматология</t>
  </si>
  <si>
    <t>31.08.10</t>
  </si>
  <si>
    <t>Судебно-медицинская экспертиза</t>
  </si>
  <si>
    <t>31.08.20</t>
  </si>
  <si>
    <t>Психиатрия</t>
  </si>
  <si>
    <t>31.08.24</t>
  </si>
  <si>
    <t>Судебно-психиатрическая экспертиза</t>
  </si>
  <si>
    <t>31.08.41</t>
  </si>
  <si>
    <t>Медико-социальная экспертиза</t>
  </si>
  <si>
    <t>32.00.00</t>
  </si>
  <si>
    <t>НАУКИ О ЗДОРОВЬЕ И ПРОФИЛАКТИЧЕСКАЯ МЕДИЦИНА</t>
  </si>
  <si>
    <t>32.04.01</t>
  </si>
  <si>
    <t>Общественное здравоохранение</t>
  </si>
  <si>
    <t>32.05.01</t>
  </si>
  <si>
    <t>Медико-профилактическое дело</t>
  </si>
  <si>
    <t>33.00.00</t>
  </si>
  <si>
    <t>ФАРМАЦИЯ</t>
  </si>
  <si>
    <t>33.05.01</t>
  </si>
  <si>
    <t>Фармация</t>
  </si>
  <si>
    <t>34.00.00</t>
  </si>
  <si>
    <t>СЕСТРИНСКОЕ ДЕЛО</t>
  </si>
  <si>
    <t>34.02.02</t>
  </si>
  <si>
    <t>Медицинский массаж (для обучения лиц с ограниченными возможностями здоровья по зрению)</t>
  </si>
  <si>
    <t>34.03.01</t>
  </si>
  <si>
    <t>Сестринское дело</t>
  </si>
  <si>
    <t>35.00.00</t>
  </si>
  <si>
    <t>СЕЛЬСКОЕ, ЛЕСНОЕ И РЫБНОЕ ХОЗЯЙСТВО</t>
  </si>
  <si>
    <t>35.03.01</t>
  </si>
  <si>
    <t>Лесное дело</t>
  </si>
  <si>
    <t>35.03.04</t>
  </si>
  <si>
    <t>Агрономия</t>
  </si>
  <si>
    <t>35.03.09</t>
  </si>
  <si>
    <t>Промышленное рыболовство</t>
  </si>
  <si>
    <t>35.04.04</t>
  </si>
  <si>
    <t>35.06.01</t>
  </si>
  <si>
    <t>Сельское хозяйство</t>
  </si>
  <si>
    <t>36.00.00</t>
  </si>
  <si>
    <t>ВЕТЕРИНАРИЯ И ЗООТЕХНИЯ</t>
  </si>
  <si>
    <t>36.03.01</t>
  </si>
  <si>
    <t>Ветеринарно-санитарная экспертиза</t>
  </si>
  <si>
    <t>36.04.01</t>
  </si>
  <si>
    <t>36.05.01</t>
  </si>
  <si>
    <t>Ветеринария</t>
  </si>
  <si>
    <t>36.06.01</t>
  </si>
  <si>
    <t>Ветеринария и зоотехния</t>
  </si>
  <si>
    <t>37.00.00</t>
  </si>
  <si>
    <t>ПСИХОЛОГИЧЕСКИЕ НАУКИ</t>
  </si>
  <si>
    <t>37.03.01</t>
  </si>
  <si>
    <t>Психология</t>
  </si>
  <si>
    <t>37.03.02</t>
  </si>
  <si>
    <t>Конфликтология</t>
  </si>
  <si>
    <t>37.04.01</t>
  </si>
  <si>
    <t>37.04.02</t>
  </si>
  <si>
    <t>37.05.01</t>
  </si>
  <si>
    <t>Клиническая психология</t>
  </si>
  <si>
    <t>37.05.02</t>
  </si>
  <si>
    <t>Психология служебной деятельности</t>
  </si>
  <si>
    <t>37.06.01</t>
  </si>
  <si>
    <t>Психологические науки</t>
  </si>
  <si>
    <t>38.00.00</t>
  </si>
  <si>
    <t>ЭКОНОМИКА И УПРАВЛЕНИЕ</t>
  </si>
  <si>
    <t>38.01.03</t>
  </si>
  <si>
    <t>Контролер банка</t>
  </si>
  <si>
    <t>38.02.01</t>
  </si>
  <si>
    <t>Экономика и бухгалтерский учет (по отраслям)</t>
  </si>
  <si>
    <t>38.02.02</t>
  </si>
  <si>
    <t>Страховое дело (по отраслям)</t>
  </si>
  <si>
    <t>38.02.03</t>
  </si>
  <si>
    <t>Операционная деятельность в логистике</t>
  </si>
  <si>
    <t>38.02.04</t>
  </si>
  <si>
    <t>Коммерция (по отраслям)</t>
  </si>
  <si>
    <t>38.02.05</t>
  </si>
  <si>
    <t>Товароведение и экспертиза качества потребительских товаров</t>
  </si>
  <si>
    <t>38.02.06</t>
  </si>
  <si>
    <t>Финансы</t>
  </si>
  <si>
    <t>38.02.07</t>
  </si>
  <si>
    <t>Банковское дело</t>
  </si>
  <si>
    <t>Экономика</t>
  </si>
  <si>
    <t>38.03.02</t>
  </si>
  <si>
    <t>Менеджмент</t>
  </si>
  <si>
    <t>38.03.03</t>
  </si>
  <si>
    <t>Управление персоналом</t>
  </si>
  <si>
    <t>38.03.04</t>
  </si>
  <si>
    <t>Государственное и муниципальное управление</t>
  </si>
  <si>
    <t>38.03.06</t>
  </si>
  <si>
    <t>Торговое дело</t>
  </si>
  <si>
    <t>38.04.02</t>
  </si>
  <si>
    <t>38.04.03</t>
  </si>
  <si>
    <t>38.04.05</t>
  </si>
  <si>
    <t>Бизнес-информатика</t>
  </si>
  <si>
    <t>38.04.06</t>
  </si>
  <si>
    <t>Финансы и кредит</t>
  </si>
  <si>
    <t>38.04.09</t>
  </si>
  <si>
    <t>Государственный аудит</t>
  </si>
  <si>
    <t>Экономическая безопасность</t>
  </si>
  <si>
    <t>38.05.02</t>
  </si>
  <si>
    <t>Таможенное дело</t>
  </si>
  <si>
    <t>38.06.01</t>
  </si>
  <si>
    <t>38.07.02</t>
  </si>
  <si>
    <t>39.00.00</t>
  </si>
  <si>
    <t>СОЦИОЛОГИЯ И СОЦИАЛЬНАЯ РАБОТА</t>
  </si>
  <si>
    <t>39.02.01</t>
  </si>
  <si>
    <t>Социальная работа</t>
  </si>
  <si>
    <t>39.02.02</t>
  </si>
  <si>
    <t>Организация сурдокоммуникации</t>
  </si>
  <si>
    <t>39.03.01</t>
  </si>
  <si>
    <t>Социология</t>
  </si>
  <si>
    <t>39.03.02</t>
  </si>
  <si>
    <t>39.04.01</t>
  </si>
  <si>
    <t>39.04.02</t>
  </si>
  <si>
    <t>39.06.01</t>
  </si>
  <si>
    <t>Социологические науки</t>
  </si>
  <si>
    <t>40.00.00</t>
  </si>
  <si>
    <t>ЮРИСПРУДЕНЦИЯ</t>
  </si>
  <si>
    <t>Право и организация социального обеспечения</t>
  </si>
  <si>
    <t>Правоохранительная деятельность</t>
  </si>
  <si>
    <t>Право и судебное администрирование</t>
  </si>
  <si>
    <t>Юриспруденция</t>
  </si>
  <si>
    <t>40.05.01</t>
  </si>
  <si>
    <t>Правовое обеспечение национальной безопасности</t>
  </si>
  <si>
    <t>Судебная экспертиза</t>
  </si>
  <si>
    <t>40.05.04</t>
  </si>
  <si>
    <t>Судебная и прокурорская деятельность</t>
  </si>
  <si>
    <t>41.00.00</t>
  </si>
  <si>
    <t>ПОЛИТИЧЕСКИЕ НАУКИ И РЕГИОНОВЕДЕНИЕ</t>
  </si>
  <si>
    <t>41.03.01</t>
  </si>
  <si>
    <t>Зарубежное регионоведение</t>
  </si>
  <si>
    <t>41.03.02</t>
  </si>
  <si>
    <t>Регионоведение России</t>
  </si>
  <si>
    <t>41.03.04</t>
  </si>
  <si>
    <t>Политология</t>
  </si>
  <si>
    <t>41.03.05</t>
  </si>
  <si>
    <t>Международные отношения</t>
  </si>
  <si>
    <t>41.03.06</t>
  </si>
  <si>
    <t>Публичная политика и социальные науки</t>
  </si>
  <si>
    <t>41.04.01</t>
  </si>
  <si>
    <t>41.04.02</t>
  </si>
  <si>
    <t>41.04.03</t>
  </si>
  <si>
    <t>Востоковедение и африканистика</t>
  </si>
  <si>
    <t>41.04.04</t>
  </si>
  <si>
    <t>41.04.05</t>
  </si>
  <si>
    <t>41.04.06</t>
  </si>
  <si>
    <t>Публичная политика</t>
  </si>
  <si>
    <t>41.06.01</t>
  </si>
  <si>
    <t>Политические науки и регионоведение</t>
  </si>
  <si>
    <t>42.00.00</t>
  </si>
  <si>
    <t>СРЕДСТВА МАССОВОЙ ИНФОРМАЦИИ И ИНФОРМАЦИОННО-БИБЛИОТЕЧНОЕ ДЕЛО</t>
  </si>
  <si>
    <t>42.02.01</t>
  </si>
  <si>
    <t>Реклама</t>
  </si>
  <si>
    <t>42.03.01</t>
  </si>
  <si>
    <t>Реклама и связи с общественностью</t>
  </si>
  <si>
    <t>42.03.02</t>
  </si>
  <si>
    <t>Журналистика</t>
  </si>
  <si>
    <t>42.04.02</t>
  </si>
  <si>
    <t>43.00.00</t>
  </si>
  <si>
    <t>СЕРВИС И ТУРИЗМ</t>
  </si>
  <si>
    <t>43.01.04</t>
  </si>
  <si>
    <t>Повар судовой</t>
  </si>
  <si>
    <t>43.02.08</t>
  </si>
  <si>
    <t>Сервис домашнего и коммунального хозяйства</t>
  </si>
  <si>
    <t>43.02.14</t>
  </si>
  <si>
    <t>Гостиничное дело</t>
  </si>
  <si>
    <t>43.02.15</t>
  </si>
  <si>
    <t>Поварское и кондитерское дело</t>
  </si>
  <si>
    <t>43.03.01</t>
  </si>
  <si>
    <t>Сервис</t>
  </si>
  <si>
    <t>44.00.00</t>
  </si>
  <si>
    <t>ОБРАЗОВАНИЕ И ПЕДАГОГИЧЕСКИЕ НАУКИ</t>
  </si>
  <si>
    <t>44.02.06</t>
  </si>
  <si>
    <t>Профессиональное обучение (по отраслям)</t>
  </si>
  <si>
    <t>44.03.01</t>
  </si>
  <si>
    <t>Педагогическое образование</t>
  </si>
  <si>
    <t>44.03.02</t>
  </si>
  <si>
    <t>Психолого-педагогическое образование</t>
  </si>
  <si>
    <t>44.03.03</t>
  </si>
  <si>
    <t>Специальное (дефектологическое) образование</t>
  </si>
  <si>
    <t>44.03.04</t>
  </si>
  <si>
    <t>44.03.05</t>
  </si>
  <si>
    <t>Педагогическое образование (с двумя профилями подготовки)</t>
  </si>
  <si>
    <t>44.04.01</t>
  </si>
  <si>
    <t>44.04.02</t>
  </si>
  <si>
    <t>44.04.03</t>
  </si>
  <si>
    <t>44.04.04</t>
  </si>
  <si>
    <t>44.05.01</t>
  </si>
  <si>
    <t>Педагогика и психология девиантного поведения</t>
  </si>
  <si>
    <t>Образование и педагогические науки</t>
  </si>
  <si>
    <t>45.00.00</t>
  </si>
  <si>
    <t>ЯЗЫКОЗНАНИЕ И ЛИТЕРАТУРОВЕДЕНИЕ</t>
  </si>
  <si>
    <t>45.03.02</t>
  </si>
  <si>
    <t>Лингвистика</t>
  </si>
  <si>
    <t>46.00.00</t>
  </si>
  <si>
    <t>ИСТОРИЯ И АРХЕОЛОГИЯ</t>
  </si>
  <si>
    <t>46.03.01</t>
  </si>
  <si>
    <t>История</t>
  </si>
  <si>
    <t>46.03.02</t>
  </si>
  <si>
    <t>Документоведение и архивоведение</t>
  </si>
  <si>
    <t>46.04.01</t>
  </si>
  <si>
    <t>46.04.02</t>
  </si>
  <si>
    <t>47.00.00</t>
  </si>
  <si>
    <t>ФИЛОСОФИЯ, ЭТИКА И РЕЛИГИОВЕДЕНИЕ</t>
  </si>
  <si>
    <t>47.03.01</t>
  </si>
  <si>
    <t>Философия</t>
  </si>
  <si>
    <t>47.04.01</t>
  </si>
  <si>
    <t>49.00.00</t>
  </si>
  <si>
    <t>ФИЗИЧЕСКАЯ КУЛЬТУРА И СПОРТ</t>
  </si>
  <si>
    <t>49.02.01</t>
  </si>
  <si>
    <t>Физическая культура</t>
  </si>
  <si>
    <t>49.03.01</t>
  </si>
  <si>
    <t>49.03.02</t>
  </si>
  <si>
    <t>Физическая культура для лиц с отклонениями в состоянии здоровья (адаптивная физическая культура)</t>
  </si>
  <si>
    <t>50.00.00</t>
  </si>
  <si>
    <t>ИСКУССТВОЗНАНИЕ</t>
  </si>
  <si>
    <t>50.04.04</t>
  </si>
  <si>
    <t>Теория и история искусств</t>
  </si>
  <si>
    <t>51.00.00</t>
  </si>
  <si>
    <t>КУЛЬТУРОВЕДЕНИЕ И СОЦИОКУЛЬТУРНЫЕ ПРОЕКТЫ</t>
  </si>
  <si>
    <t>51.03.01</t>
  </si>
  <si>
    <t>Культурология</t>
  </si>
  <si>
    <t>51.03.03</t>
  </si>
  <si>
    <t>Социально-культурная деятельность</t>
  </si>
  <si>
    <t>51.03.04</t>
  </si>
  <si>
    <t>Музеология и охрана объектов культурного и природного наследия</t>
  </si>
  <si>
    <t>51.04.01</t>
  </si>
  <si>
    <t>51.04.03</t>
  </si>
  <si>
    <t>51.04.04</t>
  </si>
  <si>
    <t>54.00.00</t>
  </si>
  <si>
    <t>ИЗОБРАЗИТЕЛЬНОЕ И ПРИКЛАДНЫЕ ВИДЫ ИСКУССТВ</t>
  </si>
  <si>
    <t>54.01.20</t>
  </si>
  <si>
    <t>Графический дизайнер</t>
  </si>
  <si>
    <t>54.02.01</t>
  </si>
  <si>
    <t>Дизайн (по отраслям)</t>
  </si>
  <si>
    <t>56.00.00</t>
  </si>
  <si>
    <t>ОБОРОНА И БЕЗОПАСНОСТЬ ГОСУДАРСТВА. ВОЕННЫЕ НАУКИ</t>
  </si>
  <si>
    <t>56.04.01</t>
  </si>
  <si>
    <t>Национальная безопасность и оборона государства</t>
  </si>
  <si>
    <t>56.04.03</t>
  </si>
  <si>
    <t>Управление боевым обеспечением войск(сил)</t>
  </si>
  <si>
    <t>56.04.08</t>
  </si>
  <si>
    <t>Управление тыловым обеспечением войск (сил)</t>
  </si>
  <si>
    <t>56.04.12</t>
  </si>
  <si>
    <t>Военное и административное управление</t>
  </si>
  <si>
    <t>56.05.01</t>
  </si>
  <si>
    <t>Тыловое обеспечение</t>
  </si>
  <si>
    <t>56.05.05</t>
  </si>
  <si>
    <t>Военная журналистика</t>
  </si>
  <si>
    <t>56.07.01</t>
  </si>
  <si>
    <t>Военные науки</t>
  </si>
  <si>
    <t>57.00.00</t>
  </si>
  <si>
    <t>ОБЕСПЕЧЕНИЕ ГОСУДАРСТВЕННОЙ БЕЗОПАСНОСТИ</t>
  </si>
  <si>
    <t>57.04.01</t>
  </si>
  <si>
    <t>Государственное управление в пограничной сфере</t>
  </si>
  <si>
    <t>57.05.01</t>
  </si>
  <si>
    <t>Пограничная деятельность</t>
  </si>
  <si>
    <t>57.05.02</t>
  </si>
  <si>
    <t>Государственная охрана</t>
  </si>
</sst>
</file>

<file path=xl/styles.xml><?xml version="1.0" encoding="utf-8"?>
<styleSheet xmlns="http://schemas.openxmlformats.org/spreadsheetml/2006/main">
  <numFmts count="1">
    <numFmt numFmtId="164" formatCode="[=0]&quot;&quot;;General"/>
  </numFmts>
  <fonts count="12">
    <font>
      <sz val="8"/>
      <name val="Arial"/>
    </font>
    <font>
      <b/>
      <sz val="11"/>
      <color rgb="FF000000"/>
      <name val="Calibri"/>
      <charset val="204"/>
    </font>
    <font>
      <b/>
      <sz val="16"/>
      <color rgb="FF000000"/>
      <name val="Calibri"/>
      <charset val="204"/>
    </font>
    <font>
      <b/>
      <u/>
      <sz val="11"/>
      <color rgb="FF000000"/>
      <name val="Calibri"/>
      <charset val="204"/>
    </font>
    <font>
      <sz val="11"/>
      <color rgb="FF000000"/>
      <name val="Calibri"/>
      <charset val="204"/>
    </font>
    <font>
      <u/>
      <sz val="11"/>
      <color rgb="FF0000FF"/>
      <name val="Calibri"/>
      <charset val="204"/>
    </font>
    <font>
      <sz val="8"/>
      <color rgb="FF000000"/>
      <name val="Arial"/>
      <charset val="204"/>
    </font>
    <font>
      <b/>
      <sz val="8"/>
      <color rgb="FF000000"/>
      <name val="Arial"/>
      <charset val="204"/>
    </font>
    <font>
      <u/>
      <sz val="8"/>
      <color rgb="FF0000FF"/>
      <name val="Calibri"/>
      <charset val="204"/>
    </font>
    <font>
      <b/>
      <sz val="12"/>
      <name val="Arial"/>
      <family val="2"/>
    </font>
    <font>
      <sz val="10"/>
      <name val="Arial"/>
      <family val="2"/>
    </font>
    <font>
      <u/>
      <sz val="8"/>
      <color theme="10"/>
      <name val="Arial"/>
    </font>
  </fonts>
  <fills count="3">
    <fill>
      <patternFill patternType="none"/>
    </fill>
    <fill>
      <patternFill patternType="gray125"/>
    </fill>
    <fill>
      <patternFill patternType="solid">
        <fgColor rgb="FFFAFAD2"/>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11" fillId="0" borderId="0" applyNumberFormat="0" applyFill="0" applyBorder="0" applyAlignment="0" applyProtection="0">
      <alignment vertical="top"/>
      <protection locked="0"/>
    </xf>
  </cellStyleXfs>
  <cellXfs count="29">
    <xf numFmtId="0" fontId="0" fillId="0" borderId="0" xfId="0"/>
    <xf numFmtId="0" fontId="0" fillId="0" borderId="0" xfId="0" applyAlignment="1">
      <alignment horizontal="left"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vertical="center" wrapText="1"/>
    </xf>
    <xf numFmtId="164" fontId="6"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2" fontId="7"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center" wrapText="1"/>
    </xf>
    <xf numFmtId="4" fontId="7" fillId="0" borderId="4" xfId="0" applyNumberFormat="1" applyFont="1" applyBorder="1" applyAlignment="1">
      <alignment horizontal="right" vertical="center" wrapText="1"/>
    </xf>
    <xf numFmtId="164" fontId="6" fillId="0" borderId="4" xfId="0" applyNumberFormat="1" applyFont="1" applyBorder="1" applyAlignment="1">
      <alignment horizontal="center" vertical="center" wrapText="1"/>
    </xf>
    <xf numFmtId="0" fontId="0" fillId="0" borderId="0" xfId="0" applyAlignment="1">
      <alignment horizontal="left"/>
    </xf>
    <xf numFmtId="0" fontId="10" fillId="0" borderId="0" xfId="0" applyFont="1" applyAlignment="1">
      <alignment horizontal="left"/>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5" fillId="0" borderId="1" xfId="0" applyFont="1" applyBorder="1" applyAlignment="1">
      <alignment horizontal="left" wrapText="1"/>
    </xf>
    <xf numFmtId="0" fontId="9" fillId="0" borderId="0" xfId="0" applyFont="1" applyAlignment="1">
      <alignment horizontal="left" wrapText="1"/>
    </xf>
    <xf numFmtId="0" fontId="10" fillId="0" borderId="0" xfId="0" applyFont="1" applyAlignment="1">
      <alignment horizontal="left" wrapText="1"/>
    </xf>
    <xf numFmtId="0" fontId="11" fillId="0" borderId="1" xfId="1" applyBorder="1" applyAlignment="1" applyProtection="1">
      <alignment horizontal="left" wrapText="1"/>
    </xf>
    <xf numFmtId="0" fontId="11" fillId="0" borderId="4" xfId="1" applyBorder="1" applyAlignment="1" applyProtection="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AA1709"/>
  <sheetViews>
    <sheetView tabSelected="1" workbookViewId="0">
      <selection sqref="A1:E1"/>
    </sheetView>
  </sheetViews>
  <sheetFormatPr defaultColWidth="10.5" defaultRowHeight="11.45" customHeight="1"/>
  <cols>
    <col min="1" max="1" width="5.83203125" style="1" customWidth="1"/>
    <col min="2" max="2" width="13.83203125" style="1" customWidth="1"/>
    <col min="3" max="3" width="10.5" style="1" customWidth="1"/>
    <col min="4" max="4" width="53.5" style="1" customWidth="1"/>
    <col min="5" max="5" width="52.6640625" style="1" customWidth="1"/>
    <col min="6" max="6" width="21" style="1" customWidth="1"/>
    <col min="7" max="7" width="13" style="1" customWidth="1"/>
    <col min="8" max="8" width="19.33203125" style="1" customWidth="1"/>
    <col min="9" max="9" width="33.6640625" style="1" customWidth="1"/>
    <col min="10" max="10" width="6.33203125" style="1" customWidth="1"/>
    <col min="11" max="11" width="8.5" style="1" customWidth="1"/>
    <col min="12" max="12" width="8.1640625" style="1" customWidth="1"/>
    <col min="13" max="13" width="21.1640625" style="1" customWidth="1"/>
    <col min="14" max="14" width="43.5" style="1" customWidth="1"/>
    <col min="15" max="15" width="35.5" style="1" customWidth="1"/>
    <col min="16" max="16" width="34" style="1" customWidth="1"/>
    <col min="17" max="17" width="38.1640625" style="1" customWidth="1"/>
    <col min="18" max="19" width="10.5" style="1" customWidth="1"/>
    <col min="20" max="20" width="15.33203125" style="1" customWidth="1"/>
    <col min="21" max="21" width="15.1640625" style="1" customWidth="1"/>
    <col min="22" max="22" width="20.33203125" style="1" customWidth="1"/>
    <col min="23" max="23" width="55.83203125" style="1" customWidth="1"/>
    <col min="24" max="27" width="10.5" style="1" customWidth="1"/>
  </cols>
  <sheetData>
    <row r="1" spans="1:27" s="1" customFormat="1" ht="15" customHeight="1">
      <c r="A1" s="17" t="s">
        <v>0</v>
      </c>
      <c r="B1" s="17"/>
      <c r="C1" s="17"/>
      <c r="D1" s="17"/>
      <c r="E1" s="17"/>
      <c r="F1" s="18" t="s">
        <v>1</v>
      </c>
      <c r="G1" s="18"/>
      <c r="H1" s="18"/>
      <c r="I1" s="18"/>
      <c r="J1" s="20" t="s">
        <v>2</v>
      </c>
      <c r="K1" s="20"/>
      <c r="L1" s="20"/>
      <c r="M1" s="20"/>
      <c r="N1" s="20"/>
      <c r="O1" s="20"/>
    </row>
    <row r="2" spans="1:27" s="1" customFormat="1" ht="15" customHeight="1">
      <c r="A2" s="21" t="s">
        <v>3</v>
      </c>
      <c r="B2" s="21"/>
      <c r="C2" s="21"/>
      <c r="D2" s="21"/>
      <c r="E2" s="21"/>
      <c r="F2" s="19"/>
      <c r="G2" s="19"/>
      <c r="H2" s="19"/>
      <c r="I2" s="19"/>
      <c r="J2" s="22" t="s">
        <v>4</v>
      </c>
      <c r="K2" s="22"/>
      <c r="L2" s="22"/>
      <c r="M2" s="22"/>
      <c r="N2" s="22"/>
      <c r="O2" s="22"/>
    </row>
    <row r="3" spans="1:27" s="1" customFormat="1" ht="15" customHeight="1">
      <c r="A3" s="21" t="s">
        <v>5</v>
      </c>
      <c r="B3" s="21"/>
      <c r="C3" s="21"/>
      <c r="D3" s="21"/>
      <c r="E3" s="21"/>
      <c r="F3" s="19"/>
      <c r="G3" s="19"/>
      <c r="H3" s="19"/>
      <c r="I3" s="19"/>
      <c r="J3" s="23"/>
      <c r="K3" s="23"/>
      <c r="L3" s="23"/>
      <c r="M3" s="23"/>
      <c r="N3" s="23"/>
      <c r="O3" s="23"/>
    </row>
    <row r="4" spans="1:27" s="1" customFormat="1" ht="15" customHeight="1">
      <c r="A4" s="27" t="str">
        <f>HYPERLINK("mailto:books@infra-m.ru", "mailto:books@infra-m.ru")</f>
        <v>mailto:books@infra-m.ru</v>
      </c>
      <c r="B4" s="24"/>
      <c r="C4" s="24"/>
      <c r="D4" s="24"/>
      <c r="E4" s="24"/>
      <c r="F4" s="19"/>
      <c r="G4" s="19"/>
      <c r="H4" s="19"/>
      <c r="I4" s="19"/>
      <c r="J4" s="23"/>
      <c r="K4" s="23"/>
      <c r="L4" s="23"/>
      <c r="M4" s="23"/>
      <c r="N4" s="23"/>
      <c r="O4" s="23"/>
    </row>
    <row r="5" spans="1:27" s="1" customFormat="1" ht="15" customHeight="1">
      <c r="A5" s="27" t="str">
        <f>HYPERLINK("https://infra-m.ru", "https://infra-m.ru")</f>
        <v>https://infra-m.ru</v>
      </c>
      <c r="B5" s="24"/>
      <c r="C5" s="24"/>
      <c r="D5" s="24"/>
      <c r="E5" s="24"/>
      <c r="F5" s="19"/>
      <c r="G5" s="19"/>
      <c r="H5" s="19"/>
      <c r="I5" s="19"/>
      <c r="J5" s="23"/>
      <c r="K5" s="23"/>
      <c r="L5" s="23"/>
      <c r="M5" s="23"/>
      <c r="N5" s="23"/>
      <c r="O5" s="23"/>
    </row>
    <row r="6" spans="1:27" s="1" customFormat="1" ht="11.1" customHeight="1"/>
    <row r="7" spans="1:27" s="2" customFormat="1" ht="21.95" customHeight="1">
      <c r="A7" s="3" t="s">
        <v>6</v>
      </c>
      <c r="B7" s="3" t="s">
        <v>7</v>
      </c>
      <c r="C7" s="3" t="s">
        <v>8</v>
      </c>
      <c r="D7" s="3" t="s">
        <v>9</v>
      </c>
      <c r="E7" s="3" t="s">
        <v>10</v>
      </c>
      <c r="F7" s="3" t="s">
        <v>11</v>
      </c>
      <c r="G7" s="3" t="s">
        <v>12</v>
      </c>
      <c r="H7" s="3" t="s">
        <v>13</v>
      </c>
      <c r="I7" s="3" t="s">
        <v>14</v>
      </c>
      <c r="J7" s="3" t="s">
        <v>15</v>
      </c>
      <c r="K7" s="3" t="s">
        <v>16</v>
      </c>
      <c r="L7" s="3" t="s">
        <v>17</v>
      </c>
      <c r="M7" s="3" t="s">
        <v>18</v>
      </c>
      <c r="N7" s="3" t="s">
        <v>19</v>
      </c>
      <c r="O7" s="3" t="s">
        <v>20</v>
      </c>
      <c r="P7" s="3" t="s">
        <v>21</v>
      </c>
      <c r="Q7" s="3" t="s">
        <v>22</v>
      </c>
      <c r="R7" s="3" t="s">
        <v>23</v>
      </c>
      <c r="S7" s="3" t="s">
        <v>24</v>
      </c>
      <c r="T7" s="3" t="s">
        <v>25</v>
      </c>
      <c r="U7" s="3" t="s">
        <v>26</v>
      </c>
      <c r="V7" s="3" t="s">
        <v>27</v>
      </c>
      <c r="W7" s="3" t="s">
        <v>28</v>
      </c>
      <c r="X7" s="3" t="s">
        <v>29</v>
      </c>
      <c r="Y7" s="3" t="s">
        <v>30</v>
      </c>
      <c r="Z7" s="3" t="s">
        <v>31</v>
      </c>
      <c r="AA7" s="3" t="s">
        <v>32</v>
      </c>
    </row>
    <row r="8" spans="1:27" s="4" customFormat="1" ht="51.95" customHeight="1">
      <c r="A8" s="5">
        <v>0</v>
      </c>
      <c r="B8" s="6" t="s">
        <v>33</v>
      </c>
      <c r="C8" s="7">
        <v>870</v>
      </c>
      <c r="D8" s="8" t="s">
        <v>34</v>
      </c>
      <c r="E8" s="8" t="s">
        <v>35</v>
      </c>
      <c r="F8" s="8" t="s">
        <v>36</v>
      </c>
      <c r="G8" s="6" t="s">
        <v>37</v>
      </c>
      <c r="H8" s="6" t="s">
        <v>38</v>
      </c>
      <c r="I8" s="8"/>
      <c r="J8" s="9">
        <v>1</v>
      </c>
      <c r="K8" s="9">
        <v>192</v>
      </c>
      <c r="L8" s="9">
        <v>2023</v>
      </c>
      <c r="M8" s="8" t="s">
        <v>39</v>
      </c>
      <c r="N8" s="8" t="s">
        <v>40</v>
      </c>
      <c r="O8" s="8" t="s">
        <v>41</v>
      </c>
      <c r="P8" s="6" t="s">
        <v>42</v>
      </c>
      <c r="Q8" s="8" t="s">
        <v>43</v>
      </c>
      <c r="R8" s="10" t="s">
        <v>44</v>
      </c>
      <c r="S8" s="11"/>
      <c r="T8" s="6"/>
      <c r="U8" s="28" t="str">
        <f>HYPERLINK("https://media.infra-m.ru/2019/2019756/cover/2019756.jpg", "Обложка")</f>
        <v>Обложка</v>
      </c>
      <c r="V8" s="28" t="str">
        <f>HYPERLINK("https://znanium.com/catalog/product/2019756", "Ознакомиться")</f>
        <v>Ознакомиться</v>
      </c>
      <c r="W8" s="8" t="s">
        <v>45</v>
      </c>
      <c r="X8" s="6"/>
      <c r="Y8" s="6"/>
      <c r="Z8" s="6"/>
      <c r="AA8" s="6" t="s">
        <v>46</v>
      </c>
    </row>
    <row r="9" spans="1:27" s="4" customFormat="1" ht="42" customHeight="1">
      <c r="A9" s="5">
        <v>0</v>
      </c>
      <c r="B9" s="6" t="s">
        <v>47</v>
      </c>
      <c r="C9" s="13">
        <v>1688.5</v>
      </c>
      <c r="D9" s="8" t="s">
        <v>48</v>
      </c>
      <c r="E9" s="8" t="s">
        <v>49</v>
      </c>
      <c r="F9" s="8" t="s">
        <v>50</v>
      </c>
      <c r="G9" s="6" t="s">
        <v>51</v>
      </c>
      <c r="H9" s="6" t="s">
        <v>52</v>
      </c>
      <c r="I9" s="8"/>
      <c r="J9" s="9">
        <v>20</v>
      </c>
      <c r="K9" s="9">
        <v>122</v>
      </c>
      <c r="L9" s="9">
        <v>2017</v>
      </c>
      <c r="M9" s="8"/>
      <c r="N9" s="8" t="s">
        <v>40</v>
      </c>
      <c r="O9" s="8" t="s">
        <v>41</v>
      </c>
      <c r="P9" s="6" t="s">
        <v>53</v>
      </c>
      <c r="Q9" s="8" t="s">
        <v>43</v>
      </c>
      <c r="R9" s="10"/>
      <c r="S9" s="11"/>
      <c r="T9" s="6"/>
      <c r="U9" s="28" t="str">
        <f>HYPERLINK("https://media.infra-m.ru/0882/0882724/cover/882724.jpg", "Обложка")</f>
        <v>Обложка</v>
      </c>
      <c r="V9" s="28" t="str">
        <f>HYPERLINK("https://znanium.com/catalog/product/882724", "Ознакомиться")</f>
        <v>Ознакомиться</v>
      </c>
      <c r="W9" s="8"/>
      <c r="X9" s="6"/>
      <c r="Y9" s="6"/>
      <c r="Z9" s="6"/>
      <c r="AA9" s="6"/>
    </row>
    <row r="10" spans="1:27" s="4" customFormat="1" ht="51.95" customHeight="1">
      <c r="A10" s="5">
        <v>0</v>
      </c>
      <c r="B10" s="6" t="s">
        <v>54</v>
      </c>
      <c r="C10" s="13">
        <v>1300</v>
      </c>
      <c r="D10" s="8" t="s">
        <v>55</v>
      </c>
      <c r="E10" s="8" t="s">
        <v>56</v>
      </c>
      <c r="F10" s="8" t="s">
        <v>57</v>
      </c>
      <c r="G10" s="6" t="s">
        <v>58</v>
      </c>
      <c r="H10" s="6" t="s">
        <v>38</v>
      </c>
      <c r="I10" s="8"/>
      <c r="J10" s="9">
        <v>1</v>
      </c>
      <c r="K10" s="9">
        <v>344</v>
      </c>
      <c r="L10" s="9">
        <v>2021</v>
      </c>
      <c r="M10" s="8" t="s">
        <v>59</v>
      </c>
      <c r="N10" s="8" t="s">
        <v>40</v>
      </c>
      <c r="O10" s="8" t="s">
        <v>41</v>
      </c>
      <c r="P10" s="6" t="s">
        <v>42</v>
      </c>
      <c r="Q10" s="8" t="s">
        <v>43</v>
      </c>
      <c r="R10" s="10" t="s">
        <v>60</v>
      </c>
      <c r="S10" s="11"/>
      <c r="T10" s="6"/>
      <c r="U10" s="28" t="str">
        <f>HYPERLINK("https://media.infra-m.ru/1372/1372728/cover/1372728.jpg", "Обложка")</f>
        <v>Обложка</v>
      </c>
      <c r="V10" s="28" t="str">
        <f>HYPERLINK("https://znanium.com/catalog/product/1372728", "Ознакомиться")</f>
        <v>Ознакомиться</v>
      </c>
      <c r="W10" s="8" t="s">
        <v>61</v>
      </c>
      <c r="X10" s="6"/>
      <c r="Y10" s="6"/>
      <c r="Z10" s="6"/>
      <c r="AA10" s="6" t="s">
        <v>62</v>
      </c>
    </row>
    <row r="11" spans="1:27" s="4" customFormat="1" ht="42" customHeight="1">
      <c r="A11" s="5">
        <v>0</v>
      </c>
      <c r="B11" s="6" t="s">
        <v>63</v>
      </c>
      <c r="C11" s="7">
        <v>830</v>
      </c>
      <c r="D11" s="8" t="s">
        <v>64</v>
      </c>
      <c r="E11" s="8" t="s">
        <v>65</v>
      </c>
      <c r="F11" s="8" t="s">
        <v>66</v>
      </c>
      <c r="G11" s="6" t="s">
        <v>37</v>
      </c>
      <c r="H11" s="6" t="s">
        <v>38</v>
      </c>
      <c r="I11" s="8"/>
      <c r="J11" s="9">
        <v>1</v>
      </c>
      <c r="K11" s="9">
        <v>216</v>
      </c>
      <c r="L11" s="9">
        <v>2022</v>
      </c>
      <c r="M11" s="8" t="s">
        <v>67</v>
      </c>
      <c r="N11" s="8" t="s">
        <v>40</v>
      </c>
      <c r="O11" s="8" t="s">
        <v>41</v>
      </c>
      <c r="P11" s="6" t="s">
        <v>68</v>
      </c>
      <c r="Q11" s="8" t="s">
        <v>43</v>
      </c>
      <c r="R11" s="10" t="s">
        <v>69</v>
      </c>
      <c r="S11" s="11"/>
      <c r="T11" s="6"/>
      <c r="U11" s="28" t="str">
        <f>HYPERLINK("https://media.infra-m.ru/1854/1854467/cover/1854467.jpg", "Обложка")</f>
        <v>Обложка</v>
      </c>
      <c r="V11" s="28" t="str">
        <f>HYPERLINK("https://znanium.com/catalog/product/1302346", "Ознакомиться")</f>
        <v>Ознакомиться</v>
      </c>
      <c r="W11" s="8"/>
      <c r="X11" s="6"/>
      <c r="Y11" s="6"/>
      <c r="Z11" s="6"/>
      <c r="AA11" s="6" t="s">
        <v>62</v>
      </c>
    </row>
    <row r="12" spans="1:27" s="4" customFormat="1" ht="51.95" customHeight="1">
      <c r="A12" s="5">
        <v>0</v>
      </c>
      <c r="B12" s="6" t="s">
        <v>70</v>
      </c>
      <c r="C12" s="7">
        <v>690</v>
      </c>
      <c r="D12" s="8" t="s">
        <v>71</v>
      </c>
      <c r="E12" s="8" t="s">
        <v>72</v>
      </c>
      <c r="F12" s="8" t="s">
        <v>73</v>
      </c>
      <c r="G12" s="6" t="s">
        <v>37</v>
      </c>
      <c r="H12" s="6" t="s">
        <v>38</v>
      </c>
      <c r="I12" s="8"/>
      <c r="J12" s="9">
        <v>1</v>
      </c>
      <c r="K12" s="9">
        <v>136</v>
      </c>
      <c r="L12" s="9">
        <v>2023</v>
      </c>
      <c r="M12" s="8" t="s">
        <v>74</v>
      </c>
      <c r="N12" s="8" t="s">
        <v>40</v>
      </c>
      <c r="O12" s="8" t="s">
        <v>41</v>
      </c>
      <c r="P12" s="6" t="s">
        <v>75</v>
      </c>
      <c r="Q12" s="8" t="s">
        <v>76</v>
      </c>
      <c r="R12" s="10" t="s">
        <v>77</v>
      </c>
      <c r="S12" s="11"/>
      <c r="T12" s="6"/>
      <c r="U12" s="28" t="str">
        <f>HYPERLINK("https://media.infra-m.ru/1905/1905974/cover/1905974.jpg", "Обложка")</f>
        <v>Обложка</v>
      </c>
      <c r="V12" s="28" t="str">
        <f>HYPERLINK("https://znanium.com/catalog/product/1905974", "Ознакомиться")</f>
        <v>Ознакомиться</v>
      </c>
      <c r="W12" s="8" t="s">
        <v>78</v>
      </c>
      <c r="X12" s="6"/>
      <c r="Y12" s="6"/>
      <c r="Z12" s="6"/>
      <c r="AA12" s="6" t="s">
        <v>79</v>
      </c>
    </row>
    <row r="13" spans="1:27" s="4" customFormat="1" ht="42" customHeight="1">
      <c r="A13" s="5">
        <v>0</v>
      </c>
      <c r="B13" s="6" t="s">
        <v>80</v>
      </c>
      <c r="C13" s="13">
        <v>1444.9</v>
      </c>
      <c r="D13" s="8" t="s">
        <v>81</v>
      </c>
      <c r="E13" s="8" t="s">
        <v>82</v>
      </c>
      <c r="F13" s="8" t="s">
        <v>83</v>
      </c>
      <c r="G13" s="6" t="s">
        <v>58</v>
      </c>
      <c r="H13" s="6" t="s">
        <v>84</v>
      </c>
      <c r="I13" s="8" t="s">
        <v>85</v>
      </c>
      <c r="J13" s="9">
        <v>1</v>
      </c>
      <c r="K13" s="9">
        <v>320</v>
      </c>
      <c r="L13" s="9">
        <v>2023</v>
      </c>
      <c r="M13" s="8" t="s">
        <v>86</v>
      </c>
      <c r="N13" s="8" t="s">
        <v>40</v>
      </c>
      <c r="O13" s="8" t="s">
        <v>41</v>
      </c>
      <c r="P13" s="6" t="s">
        <v>42</v>
      </c>
      <c r="Q13" s="8" t="s">
        <v>43</v>
      </c>
      <c r="R13" s="10" t="s">
        <v>87</v>
      </c>
      <c r="S13" s="11"/>
      <c r="T13" s="6"/>
      <c r="U13" s="28" t="str">
        <f>HYPERLINK("https://media.infra-m.ru/2001/2001643/cover/2001643.jpg", "Обложка")</f>
        <v>Обложка</v>
      </c>
      <c r="V13" s="28" t="str">
        <f>HYPERLINK("https://znanium.com/catalog/product/1009674", "Ознакомиться")</f>
        <v>Ознакомиться</v>
      </c>
      <c r="W13" s="8" t="s">
        <v>45</v>
      </c>
      <c r="X13" s="6"/>
      <c r="Y13" s="6"/>
      <c r="Z13" s="6"/>
      <c r="AA13" s="6" t="s">
        <v>88</v>
      </c>
    </row>
    <row r="14" spans="1:27" s="4" customFormat="1" ht="42" customHeight="1">
      <c r="A14" s="5">
        <v>0</v>
      </c>
      <c r="B14" s="6" t="s">
        <v>89</v>
      </c>
      <c r="C14" s="13">
        <v>1760</v>
      </c>
      <c r="D14" s="8" t="s">
        <v>90</v>
      </c>
      <c r="E14" s="8" t="s">
        <v>91</v>
      </c>
      <c r="F14" s="8" t="s">
        <v>92</v>
      </c>
      <c r="G14" s="6" t="s">
        <v>58</v>
      </c>
      <c r="H14" s="6" t="s">
        <v>84</v>
      </c>
      <c r="I14" s="8" t="s">
        <v>93</v>
      </c>
      <c r="J14" s="9">
        <v>1</v>
      </c>
      <c r="K14" s="9">
        <v>376</v>
      </c>
      <c r="L14" s="9">
        <v>2024</v>
      </c>
      <c r="M14" s="8" t="s">
        <v>94</v>
      </c>
      <c r="N14" s="8" t="s">
        <v>40</v>
      </c>
      <c r="O14" s="8" t="s">
        <v>41</v>
      </c>
      <c r="P14" s="6" t="s">
        <v>95</v>
      </c>
      <c r="Q14" s="8" t="s">
        <v>96</v>
      </c>
      <c r="R14" s="10" t="s">
        <v>97</v>
      </c>
      <c r="S14" s="11"/>
      <c r="T14" s="6"/>
      <c r="U14" s="28" t="str">
        <f>HYPERLINK("https://media.infra-m.ru/1845/1845929/cover/1845929.jpg", "Обложка")</f>
        <v>Обложка</v>
      </c>
      <c r="V14" s="28" t="str">
        <f>HYPERLINK("https://znanium.com/catalog/product/1845929", "Ознакомиться")</f>
        <v>Ознакомиться</v>
      </c>
      <c r="W14" s="8" t="s">
        <v>98</v>
      </c>
      <c r="X14" s="6" t="s">
        <v>99</v>
      </c>
      <c r="Y14" s="6"/>
      <c r="Z14" s="6"/>
      <c r="AA14" s="6" t="s">
        <v>100</v>
      </c>
    </row>
    <row r="15" spans="1:27" s="4" customFormat="1" ht="51.95" customHeight="1">
      <c r="A15" s="5">
        <v>0</v>
      </c>
      <c r="B15" s="6" t="s">
        <v>101</v>
      </c>
      <c r="C15" s="7">
        <v>691</v>
      </c>
      <c r="D15" s="8" t="s">
        <v>102</v>
      </c>
      <c r="E15" s="8" t="s">
        <v>103</v>
      </c>
      <c r="F15" s="8" t="s">
        <v>104</v>
      </c>
      <c r="G15" s="6" t="s">
        <v>37</v>
      </c>
      <c r="H15" s="6" t="s">
        <v>38</v>
      </c>
      <c r="I15" s="8"/>
      <c r="J15" s="9">
        <v>1</v>
      </c>
      <c r="K15" s="9">
        <v>128</v>
      </c>
      <c r="L15" s="9">
        <v>2023</v>
      </c>
      <c r="M15" s="8" t="s">
        <v>105</v>
      </c>
      <c r="N15" s="8" t="s">
        <v>40</v>
      </c>
      <c r="O15" s="8" t="s">
        <v>41</v>
      </c>
      <c r="P15" s="6" t="s">
        <v>42</v>
      </c>
      <c r="Q15" s="8" t="s">
        <v>43</v>
      </c>
      <c r="R15" s="10" t="s">
        <v>106</v>
      </c>
      <c r="S15" s="11"/>
      <c r="T15" s="6"/>
      <c r="U15" s="28" t="str">
        <f>HYPERLINK("https://media.infra-m.ru/2037/2037423/cover/2037423.jpg", "Обложка")</f>
        <v>Обложка</v>
      </c>
      <c r="V15" s="28" t="str">
        <f>HYPERLINK("https://znanium.com/catalog/product/2037423", "Ознакомиться")</f>
        <v>Ознакомиться</v>
      </c>
      <c r="W15" s="8" t="s">
        <v>107</v>
      </c>
      <c r="X15" s="6"/>
      <c r="Y15" s="6"/>
      <c r="Z15" s="6"/>
      <c r="AA15" s="6" t="s">
        <v>79</v>
      </c>
    </row>
    <row r="16" spans="1:27" s="4" customFormat="1" ht="42" customHeight="1">
      <c r="A16" s="5">
        <v>0</v>
      </c>
      <c r="B16" s="6" t="s">
        <v>108</v>
      </c>
      <c r="C16" s="7">
        <v>940</v>
      </c>
      <c r="D16" s="8" t="s">
        <v>109</v>
      </c>
      <c r="E16" s="8" t="s">
        <v>110</v>
      </c>
      <c r="F16" s="8" t="s">
        <v>111</v>
      </c>
      <c r="G16" s="6" t="s">
        <v>37</v>
      </c>
      <c r="H16" s="6" t="s">
        <v>38</v>
      </c>
      <c r="I16" s="8"/>
      <c r="J16" s="9">
        <v>1</v>
      </c>
      <c r="K16" s="9">
        <v>248</v>
      </c>
      <c r="L16" s="9">
        <v>2022</v>
      </c>
      <c r="M16" s="8" t="s">
        <v>112</v>
      </c>
      <c r="N16" s="8" t="s">
        <v>40</v>
      </c>
      <c r="O16" s="8" t="s">
        <v>41</v>
      </c>
      <c r="P16" s="6" t="s">
        <v>75</v>
      </c>
      <c r="Q16" s="8" t="s">
        <v>76</v>
      </c>
      <c r="R16" s="10" t="s">
        <v>113</v>
      </c>
      <c r="S16" s="11"/>
      <c r="T16" s="6"/>
      <c r="U16" s="28" t="str">
        <f>HYPERLINK("https://media.infra-m.ru/1864/1864285/cover/1864285.jpg", "Обложка")</f>
        <v>Обложка</v>
      </c>
      <c r="V16" s="28" t="str">
        <f>HYPERLINK("https://znanium.com/catalog/product/1864285", "Ознакомиться")</f>
        <v>Ознакомиться</v>
      </c>
      <c r="W16" s="8" t="s">
        <v>114</v>
      </c>
      <c r="X16" s="6"/>
      <c r="Y16" s="6"/>
      <c r="Z16" s="6"/>
      <c r="AA16" s="6" t="s">
        <v>115</v>
      </c>
    </row>
    <row r="17" spans="1:27" s="4" customFormat="1" ht="51.95" customHeight="1">
      <c r="A17" s="5">
        <v>0</v>
      </c>
      <c r="B17" s="6" t="s">
        <v>116</v>
      </c>
      <c r="C17" s="13">
        <v>1350</v>
      </c>
      <c r="D17" s="8" t="s">
        <v>117</v>
      </c>
      <c r="E17" s="8" t="s">
        <v>118</v>
      </c>
      <c r="F17" s="8" t="s">
        <v>119</v>
      </c>
      <c r="G17" s="6" t="s">
        <v>37</v>
      </c>
      <c r="H17" s="6" t="s">
        <v>84</v>
      </c>
      <c r="I17" s="8" t="s">
        <v>120</v>
      </c>
      <c r="J17" s="9">
        <v>1</v>
      </c>
      <c r="K17" s="9">
        <v>293</v>
      </c>
      <c r="L17" s="9">
        <v>2024</v>
      </c>
      <c r="M17" s="8" t="s">
        <v>121</v>
      </c>
      <c r="N17" s="8" t="s">
        <v>40</v>
      </c>
      <c r="O17" s="8" t="s">
        <v>41</v>
      </c>
      <c r="P17" s="6" t="s">
        <v>75</v>
      </c>
      <c r="Q17" s="8" t="s">
        <v>76</v>
      </c>
      <c r="R17" s="10" t="s">
        <v>122</v>
      </c>
      <c r="S17" s="11" t="s">
        <v>123</v>
      </c>
      <c r="T17" s="6"/>
      <c r="U17" s="28" t="str">
        <f>HYPERLINK("https://media.infra-m.ru/2095/2095999/cover/2095999.jpg", "Обложка")</f>
        <v>Обложка</v>
      </c>
      <c r="V17" s="28" t="str">
        <f>HYPERLINK("https://znanium.com/catalog/product/2095999", "Ознакомиться")</f>
        <v>Ознакомиться</v>
      </c>
      <c r="W17" s="8" t="s">
        <v>124</v>
      </c>
      <c r="X17" s="6"/>
      <c r="Y17" s="6"/>
      <c r="Z17" s="6"/>
      <c r="AA17" s="6" t="s">
        <v>115</v>
      </c>
    </row>
    <row r="18" spans="1:27" s="4" customFormat="1" ht="51.95" customHeight="1">
      <c r="A18" s="5">
        <v>0</v>
      </c>
      <c r="B18" s="6" t="s">
        <v>125</v>
      </c>
      <c r="C18" s="7">
        <v>740</v>
      </c>
      <c r="D18" s="8" t="s">
        <v>126</v>
      </c>
      <c r="E18" s="8" t="s">
        <v>127</v>
      </c>
      <c r="F18" s="8" t="s">
        <v>128</v>
      </c>
      <c r="G18" s="6" t="s">
        <v>58</v>
      </c>
      <c r="H18" s="6" t="s">
        <v>38</v>
      </c>
      <c r="I18" s="8"/>
      <c r="J18" s="9">
        <v>1</v>
      </c>
      <c r="K18" s="9">
        <v>160</v>
      </c>
      <c r="L18" s="9">
        <v>2019</v>
      </c>
      <c r="M18" s="8" t="s">
        <v>129</v>
      </c>
      <c r="N18" s="8" t="s">
        <v>40</v>
      </c>
      <c r="O18" s="8" t="s">
        <v>41</v>
      </c>
      <c r="P18" s="6" t="s">
        <v>42</v>
      </c>
      <c r="Q18" s="8" t="s">
        <v>43</v>
      </c>
      <c r="R18" s="10" t="s">
        <v>130</v>
      </c>
      <c r="S18" s="11"/>
      <c r="T18" s="6"/>
      <c r="U18" s="28" t="str">
        <f>HYPERLINK("https://media.infra-m.ru/1027/1027422/cover/1027422.jpg", "Обложка")</f>
        <v>Обложка</v>
      </c>
      <c r="V18" s="28" t="str">
        <f>HYPERLINK("https://znanium.com/catalog/product/1027422", "Ознакомиться")</f>
        <v>Ознакомиться</v>
      </c>
      <c r="W18" s="8" t="s">
        <v>61</v>
      </c>
      <c r="X18" s="6"/>
      <c r="Y18" s="6"/>
      <c r="Z18" s="6"/>
      <c r="AA18" s="6" t="s">
        <v>46</v>
      </c>
    </row>
    <row r="19" spans="1:27" s="4" customFormat="1" ht="42" customHeight="1">
      <c r="A19" s="5">
        <v>0</v>
      </c>
      <c r="B19" s="6" t="s">
        <v>131</v>
      </c>
      <c r="C19" s="13">
        <v>1620</v>
      </c>
      <c r="D19" s="8" t="s">
        <v>132</v>
      </c>
      <c r="E19" s="8" t="s">
        <v>133</v>
      </c>
      <c r="F19" s="8" t="s">
        <v>111</v>
      </c>
      <c r="G19" s="6" t="s">
        <v>37</v>
      </c>
      <c r="H19" s="6" t="s">
        <v>38</v>
      </c>
      <c r="I19" s="8" t="s">
        <v>93</v>
      </c>
      <c r="J19" s="9">
        <v>1</v>
      </c>
      <c r="K19" s="9">
        <v>352</v>
      </c>
      <c r="L19" s="9">
        <v>2024</v>
      </c>
      <c r="M19" s="8" t="s">
        <v>134</v>
      </c>
      <c r="N19" s="8" t="s">
        <v>40</v>
      </c>
      <c r="O19" s="8" t="s">
        <v>41</v>
      </c>
      <c r="P19" s="6" t="s">
        <v>75</v>
      </c>
      <c r="Q19" s="8" t="s">
        <v>96</v>
      </c>
      <c r="R19" s="10" t="s">
        <v>135</v>
      </c>
      <c r="S19" s="11"/>
      <c r="T19" s="6"/>
      <c r="U19" s="28" t="str">
        <f>HYPERLINK("https://media.infra-m.ru/2112/2112510/cover/2112510.jpg", "Обложка")</f>
        <v>Обложка</v>
      </c>
      <c r="V19" s="28" t="str">
        <f>HYPERLINK("https://znanium.com/catalog/product/1912944", "Ознакомиться")</f>
        <v>Ознакомиться</v>
      </c>
      <c r="W19" s="8" t="s">
        <v>114</v>
      </c>
      <c r="X19" s="6"/>
      <c r="Y19" s="6"/>
      <c r="Z19" s="6" t="s">
        <v>136</v>
      </c>
      <c r="AA19" s="6" t="s">
        <v>137</v>
      </c>
    </row>
    <row r="20" spans="1:27" s="4" customFormat="1" ht="51.95" customHeight="1">
      <c r="A20" s="5">
        <v>0</v>
      </c>
      <c r="B20" s="6" t="s">
        <v>138</v>
      </c>
      <c r="C20" s="13">
        <v>1620</v>
      </c>
      <c r="D20" s="8" t="s">
        <v>139</v>
      </c>
      <c r="E20" s="8" t="s">
        <v>133</v>
      </c>
      <c r="F20" s="8" t="s">
        <v>111</v>
      </c>
      <c r="G20" s="6" t="s">
        <v>37</v>
      </c>
      <c r="H20" s="6" t="s">
        <v>38</v>
      </c>
      <c r="I20" s="8"/>
      <c r="J20" s="9">
        <v>1</v>
      </c>
      <c r="K20" s="9">
        <v>352</v>
      </c>
      <c r="L20" s="9">
        <v>2024</v>
      </c>
      <c r="M20" s="8" t="s">
        <v>140</v>
      </c>
      <c r="N20" s="8" t="s">
        <v>40</v>
      </c>
      <c r="O20" s="8" t="s">
        <v>41</v>
      </c>
      <c r="P20" s="6" t="s">
        <v>141</v>
      </c>
      <c r="Q20" s="8" t="s">
        <v>76</v>
      </c>
      <c r="R20" s="10" t="s">
        <v>142</v>
      </c>
      <c r="S20" s="11"/>
      <c r="T20" s="6"/>
      <c r="U20" s="28" t="str">
        <f>HYPERLINK("https://media.infra-m.ru/2113/2113851/cover/2113851.jpg", "Обложка")</f>
        <v>Обложка</v>
      </c>
      <c r="V20" s="28" t="str">
        <f>HYPERLINK("https://znanium.com/catalog/product/2113851", "Ознакомиться")</f>
        <v>Ознакомиться</v>
      </c>
      <c r="W20" s="8" t="s">
        <v>114</v>
      </c>
      <c r="X20" s="6"/>
      <c r="Y20" s="6"/>
      <c r="Z20" s="6"/>
      <c r="AA20" s="6" t="s">
        <v>143</v>
      </c>
    </row>
    <row r="21" spans="1:27" s="4" customFormat="1" ht="51.95" customHeight="1">
      <c r="A21" s="5">
        <v>0</v>
      </c>
      <c r="B21" s="6" t="s">
        <v>144</v>
      </c>
      <c r="C21" s="13">
        <v>1270</v>
      </c>
      <c r="D21" s="8" t="s">
        <v>145</v>
      </c>
      <c r="E21" s="8" t="s">
        <v>146</v>
      </c>
      <c r="F21" s="8" t="s">
        <v>111</v>
      </c>
      <c r="G21" s="6" t="s">
        <v>37</v>
      </c>
      <c r="H21" s="6" t="s">
        <v>38</v>
      </c>
      <c r="I21" s="8"/>
      <c r="J21" s="9">
        <v>1</v>
      </c>
      <c r="K21" s="9">
        <v>352</v>
      </c>
      <c r="L21" s="9">
        <v>2021</v>
      </c>
      <c r="M21" s="8" t="s">
        <v>147</v>
      </c>
      <c r="N21" s="8" t="s">
        <v>40</v>
      </c>
      <c r="O21" s="8" t="s">
        <v>41</v>
      </c>
      <c r="P21" s="6" t="s">
        <v>141</v>
      </c>
      <c r="Q21" s="8" t="s">
        <v>76</v>
      </c>
      <c r="R21" s="10" t="s">
        <v>142</v>
      </c>
      <c r="S21" s="11"/>
      <c r="T21" s="6"/>
      <c r="U21" s="28" t="str">
        <f>HYPERLINK("https://media.infra-m.ru/1222/1222790/cover/1222790.jpg", "Обложка")</f>
        <v>Обложка</v>
      </c>
      <c r="V21" s="28" t="str">
        <f>HYPERLINK("https://znanium.com/catalog/product/2113851", "Ознакомиться")</f>
        <v>Ознакомиться</v>
      </c>
      <c r="W21" s="8" t="s">
        <v>114</v>
      </c>
      <c r="X21" s="6"/>
      <c r="Y21" s="6"/>
      <c r="Z21" s="6"/>
      <c r="AA21" s="6" t="s">
        <v>148</v>
      </c>
    </row>
    <row r="22" spans="1:27" s="4" customFormat="1" ht="44.1" customHeight="1">
      <c r="A22" s="5">
        <v>0</v>
      </c>
      <c r="B22" s="6" t="s">
        <v>149</v>
      </c>
      <c r="C22" s="13">
        <v>1270</v>
      </c>
      <c r="D22" s="8" t="s">
        <v>150</v>
      </c>
      <c r="E22" s="8" t="s">
        <v>146</v>
      </c>
      <c r="F22" s="8" t="s">
        <v>111</v>
      </c>
      <c r="G22" s="6" t="s">
        <v>37</v>
      </c>
      <c r="H22" s="6" t="s">
        <v>38</v>
      </c>
      <c r="I22" s="8" t="s">
        <v>93</v>
      </c>
      <c r="J22" s="9">
        <v>1</v>
      </c>
      <c r="K22" s="9">
        <v>352</v>
      </c>
      <c r="L22" s="9">
        <v>2021</v>
      </c>
      <c r="M22" s="8" t="s">
        <v>151</v>
      </c>
      <c r="N22" s="8" t="s">
        <v>40</v>
      </c>
      <c r="O22" s="8" t="s">
        <v>41</v>
      </c>
      <c r="P22" s="6" t="s">
        <v>75</v>
      </c>
      <c r="Q22" s="8" t="s">
        <v>96</v>
      </c>
      <c r="R22" s="10" t="s">
        <v>135</v>
      </c>
      <c r="S22" s="11"/>
      <c r="T22" s="6"/>
      <c r="U22" s="28" t="str">
        <f>HYPERLINK("https://media.infra-m.ru/1215/1215336/cover/1215336.jpg", "Обложка")</f>
        <v>Обложка</v>
      </c>
      <c r="V22" s="28" t="str">
        <f>HYPERLINK("https://znanium.com/catalog/product/1912944", "Ознакомиться")</f>
        <v>Ознакомиться</v>
      </c>
      <c r="W22" s="8" t="s">
        <v>114</v>
      </c>
      <c r="X22" s="6"/>
      <c r="Y22" s="6"/>
      <c r="Z22" s="6" t="s">
        <v>136</v>
      </c>
      <c r="AA22" s="6" t="s">
        <v>46</v>
      </c>
    </row>
    <row r="23" spans="1:27" s="4" customFormat="1" ht="51.95" customHeight="1">
      <c r="A23" s="5">
        <v>0</v>
      </c>
      <c r="B23" s="6" t="s">
        <v>152</v>
      </c>
      <c r="C23" s="13">
        <v>2250</v>
      </c>
      <c r="D23" s="8" t="s">
        <v>153</v>
      </c>
      <c r="E23" s="8" t="s">
        <v>154</v>
      </c>
      <c r="F23" s="8" t="s">
        <v>155</v>
      </c>
      <c r="G23" s="6" t="s">
        <v>37</v>
      </c>
      <c r="H23" s="6" t="s">
        <v>52</v>
      </c>
      <c r="I23" s="8" t="s">
        <v>120</v>
      </c>
      <c r="J23" s="9">
        <v>1</v>
      </c>
      <c r="K23" s="9">
        <v>499</v>
      </c>
      <c r="L23" s="9">
        <v>2019</v>
      </c>
      <c r="M23" s="8" t="s">
        <v>156</v>
      </c>
      <c r="N23" s="8" t="s">
        <v>40</v>
      </c>
      <c r="O23" s="8" t="s">
        <v>41</v>
      </c>
      <c r="P23" s="6" t="s">
        <v>95</v>
      </c>
      <c r="Q23" s="8" t="s">
        <v>157</v>
      </c>
      <c r="R23" s="10" t="s">
        <v>142</v>
      </c>
      <c r="S23" s="11"/>
      <c r="T23" s="6"/>
      <c r="U23" s="28" t="str">
        <f>HYPERLINK("https://media.infra-m.ru/1941/1941743/cover/1941743.jpg", "Обложка")</f>
        <v>Обложка</v>
      </c>
      <c r="V23" s="28" t="str">
        <f>HYPERLINK("https://znanium.com/catalog/product/1001188", "Ознакомиться")</f>
        <v>Ознакомиться</v>
      </c>
      <c r="W23" s="8" t="s">
        <v>158</v>
      </c>
      <c r="X23" s="6"/>
      <c r="Y23" s="6"/>
      <c r="Z23" s="6"/>
      <c r="AA23" s="6" t="s">
        <v>79</v>
      </c>
    </row>
    <row r="24" spans="1:27" s="4" customFormat="1" ht="51.95" customHeight="1">
      <c r="A24" s="5">
        <v>0</v>
      </c>
      <c r="B24" s="6" t="s">
        <v>159</v>
      </c>
      <c r="C24" s="13">
        <v>1350</v>
      </c>
      <c r="D24" s="8" t="s">
        <v>160</v>
      </c>
      <c r="E24" s="8" t="s">
        <v>161</v>
      </c>
      <c r="F24" s="8" t="s">
        <v>155</v>
      </c>
      <c r="G24" s="6" t="s">
        <v>37</v>
      </c>
      <c r="H24" s="6" t="s">
        <v>52</v>
      </c>
      <c r="I24" s="8" t="s">
        <v>120</v>
      </c>
      <c r="J24" s="9">
        <v>1</v>
      </c>
      <c r="K24" s="9">
        <v>285</v>
      </c>
      <c r="L24" s="9">
        <v>2023</v>
      </c>
      <c r="M24" s="8" t="s">
        <v>162</v>
      </c>
      <c r="N24" s="8" t="s">
        <v>40</v>
      </c>
      <c r="O24" s="8" t="s">
        <v>41</v>
      </c>
      <c r="P24" s="6" t="s">
        <v>95</v>
      </c>
      <c r="Q24" s="8" t="s">
        <v>157</v>
      </c>
      <c r="R24" s="10" t="s">
        <v>142</v>
      </c>
      <c r="S24" s="11"/>
      <c r="T24" s="6"/>
      <c r="U24" s="28" t="str">
        <f>HYPERLINK("https://media.infra-m.ru/2109/2109057/cover/2109057.jpg", "Обложка")</f>
        <v>Обложка</v>
      </c>
      <c r="V24" s="28" t="str">
        <f>HYPERLINK("https://znanium.com/catalog/product/1001188", "Ознакомиться")</f>
        <v>Ознакомиться</v>
      </c>
      <c r="W24" s="8" t="s">
        <v>158</v>
      </c>
      <c r="X24" s="6"/>
      <c r="Y24" s="6"/>
      <c r="Z24" s="6"/>
      <c r="AA24" s="6" t="s">
        <v>137</v>
      </c>
    </row>
    <row r="25" spans="1:27" s="4" customFormat="1" ht="51.95" customHeight="1">
      <c r="A25" s="5">
        <v>0</v>
      </c>
      <c r="B25" s="6" t="s">
        <v>163</v>
      </c>
      <c r="C25" s="13">
        <v>1590</v>
      </c>
      <c r="D25" s="8" t="s">
        <v>164</v>
      </c>
      <c r="E25" s="8" t="s">
        <v>165</v>
      </c>
      <c r="F25" s="8" t="s">
        <v>166</v>
      </c>
      <c r="G25" s="6" t="s">
        <v>37</v>
      </c>
      <c r="H25" s="6" t="s">
        <v>38</v>
      </c>
      <c r="I25" s="8"/>
      <c r="J25" s="9">
        <v>1</v>
      </c>
      <c r="K25" s="9">
        <v>352</v>
      </c>
      <c r="L25" s="9">
        <v>2018</v>
      </c>
      <c r="M25" s="8" t="s">
        <v>167</v>
      </c>
      <c r="N25" s="8" t="s">
        <v>40</v>
      </c>
      <c r="O25" s="8" t="s">
        <v>41</v>
      </c>
      <c r="P25" s="6" t="s">
        <v>95</v>
      </c>
      <c r="Q25" s="8" t="s">
        <v>76</v>
      </c>
      <c r="R25" s="10" t="s">
        <v>168</v>
      </c>
      <c r="S25" s="11" t="s">
        <v>169</v>
      </c>
      <c r="T25" s="6"/>
      <c r="U25" s="28" t="str">
        <f>HYPERLINK("https://media.infra-m.ru/1021/1021817/cover/1021817.jpg", "Обложка")</f>
        <v>Обложка</v>
      </c>
      <c r="V25" s="28" t="str">
        <f>HYPERLINK("https://znanium.com/catalog/product/966214", "Ознакомиться")</f>
        <v>Ознакомиться</v>
      </c>
      <c r="W25" s="8" t="s">
        <v>170</v>
      </c>
      <c r="X25" s="6"/>
      <c r="Y25" s="6"/>
      <c r="Z25" s="6"/>
      <c r="AA25" s="6" t="s">
        <v>171</v>
      </c>
    </row>
    <row r="26" spans="1:27" s="4" customFormat="1" ht="51.95" customHeight="1">
      <c r="A26" s="5">
        <v>0</v>
      </c>
      <c r="B26" s="6" t="s">
        <v>172</v>
      </c>
      <c r="C26" s="7">
        <v>799.9</v>
      </c>
      <c r="D26" s="8" t="s">
        <v>173</v>
      </c>
      <c r="E26" s="8" t="s">
        <v>174</v>
      </c>
      <c r="F26" s="8" t="s">
        <v>166</v>
      </c>
      <c r="G26" s="6" t="s">
        <v>58</v>
      </c>
      <c r="H26" s="6" t="s">
        <v>38</v>
      </c>
      <c r="I26" s="8"/>
      <c r="J26" s="9">
        <v>1</v>
      </c>
      <c r="K26" s="9">
        <v>352</v>
      </c>
      <c r="L26" s="9">
        <v>2017</v>
      </c>
      <c r="M26" s="8" t="s">
        <v>175</v>
      </c>
      <c r="N26" s="8" t="s">
        <v>40</v>
      </c>
      <c r="O26" s="8" t="s">
        <v>41</v>
      </c>
      <c r="P26" s="6" t="s">
        <v>95</v>
      </c>
      <c r="Q26" s="8" t="s">
        <v>76</v>
      </c>
      <c r="R26" s="10" t="s">
        <v>168</v>
      </c>
      <c r="S26" s="11" t="s">
        <v>169</v>
      </c>
      <c r="T26" s="6"/>
      <c r="U26" s="28" t="str">
        <f>HYPERLINK("https://media.infra-m.ru/0795/0795685/cover/795685.jpg", "Обложка")</f>
        <v>Обложка</v>
      </c>
      <c r="V26" s="28" t="str">
        <f>HYPERLINK("https://znanium.com/catalog/product/966214", "Ознакомиться")</f>
        <v>Ознакомиться</v>
      </c>
      <c r="W26" s="8" t="s">
        <v>170</v>
      </c>
      <c r="X26" s="6"/>
      <c r="Y26" s="6"/>
      <c r="Z26" s="6"/>
      <c r="AA26" s="6" t="s">
        <v>88</v>
      </c>
    </row>
    <row r="27" spans="1:27" s="4" customFormat="1" ht="51.95" customHeight="1">
      <c r="A27" s="5">
        <v>0</v>
      </c>
      <c r="B27" s="6" t="s">
        <v>176</v>
      </c>
      <c r="C27" s="7">
        <v>810</v>
      </c>
      <c r="D27" s="8" t="s">
        <v>177</v>
      </c>
      <c r="E27" s="8" t="s">
        <v>178</v>
      </c>
      <c r="F27" s="8" t="s">
        <v>179</v>
      </c>
      <c r="G27" s="6" t="s">
        <v>37</v>
      </c>
      <c r="H27" s="6" t="s">
        <v>84</v>
      </c>
      <c r="I27" s="8" t="s">
        <v>93</v>
      </c>
      <c r="J27" s="9">
        <v>1</v>
      </c>
      <c r="K27" s="9">
        <v>181</v>
      </c>
      <c r="L27" s="9">
        <v>2023</v>
      </c>
      <c r="M27" s="8" t="s">
        <v>180</v>
      </c>
      <c r="N27" s="8" t="s">
        <v>40</v>
      </c>
      <c r="O27" s="8" t="s">
        <v>41</v>
      </c>
      <c r="P27" s="6" t="s">
        <v>75</v>
      </c>
      <c r="Q27" s="8" t="s">
        <v>96</v>
      </c>
      <c r="R27" s="10" t="s">
        <v>181</v>
      </c>
      <c r="S27" s="11" t="s">
        <v>182</v>
      </c>
      <c r="T27" s="6"/>
      <c r="U27" s="28" t="str">
        <f>HYPERLINK("https://media.infra-m.ru/1929/1929164/cover/1929164.jpg", "Обложка")</f>
        <v>Обложка</v>
      </c>
      <c r="V27" s="28" t="str">
        <f>HYPERLINK("https://znanium.com/catalog/product/1929164", "Ознакомиться")</f>
        <v>Ознакомиться</v>
      </c>
      <c r="W27" s="8" t="s">
        <v>170</v>
      </c>
      <c r="X27" s="6"/>
      <c r="Y27" s="6"/>
      <c r="Z27" s="6" t="s">
        <v>136</v>
      </c>
      <c r="AA27" s="6" t="s">
        <v>62</v>
      </c>
    </row>
    <row r="28" spans="1:27" s="4" customFormat="1" ht="51.95" customHeight="1">
      <c r="A28" s="5">
        <v>0</v>
      </c>
      <c r="B28" s="6" t="s">
        <v>183</v>
      </c>
      <c r="C28" s="7">
        <v>830</v>
      </c>
      <c r="D28" s="8" t="s">
        <v>184</v>
      </c>
      <c r="E28" s="8" t="s">
        <v>178</v>
      </c>
      <c r="F28" s="8" t="s">
        <v>179</v>
      </c>
      <c r="G28" s="6" t="s">
        <v>37</v>
      </c>
      <c r="H28" s="6" t="s">
        <v>84</v>
      </c>
      <c r="I28" s="8" t="s">
        <v>185</v>
      </c>
      <c r="J28" s="9">
        <v>1</v>
      </c>
      <c r="K28" s="9">
        <v>181</v>
      </c>
      <c r="L28" s="9">
        <v>2023</v>
      </c>
      <c r="M28" s="8" t="s">
        <v>186</v>
      </c>
      <c r="N28" s="8" t="s">
        <v>40</v>
      </c>
      <c r="O28" s="8" t="s">
        <v>41</v>
      </c>
      <c r="P28" s="6" t="s">
        <v>75</v>
      </c>
      <c r="Q28" s="8" t="s">
        <v>76</v>
      </c>
      <c r="R28" s="10" t="s">
        <v>87</v>
      </c>
      <c r="S28" s="11" t="s">
        <v>187</v>
      </c>
      <c r="T28" s="6"/>
      <c r="U28" s="28" t="str">
        <f>HYPERLINK("https://media.infra-m.ru/1911/1911064/cover/1911064.jpg", "Обложка")</f>
        <v>Обложка</v>
      </c>
      <c r="V28" s="28" t="str">
        <f>HYPERLINK("https://znanium.com/catalog/product/1911064", "Ознакомиться")</f>
        <v>Ознакомиться</v>
      </c>
      <c r="W28" s="8" t="s">
        <v>170</v>
      </c>
      <c r="X28" s="6"/>
      <c r="Y28" s="6"/>
      <c r="Z28" s="6"/>
      <c r="AA28" s="6" t="s">
        <v>115</v>
      </c>
    </row>
    <row r="29" spans="1:27" s="4" customFormat="1" ht="51.95" customHeight="1">
      <c r="A29" s="5">
        <v>0</v>
      </c>
      <c r="B29" s="6" t="s">
        <v>188</v>
      </c>
      <c r="C29" s="13">
        <v>1440</v>
      </c>
      <c r="D29" s="8" t="s">
        <v>189</v>
      </c>
      <c r="E29" s="8" t="s">
        <v>190</v>
      </c>
      <c r="F29" s="8" t="s">
        <v>191</v>
      </c>
      <c r="G29" s="6" t="s">
        <v>37</v>
      </c>
      <c r="H29" s="6" t="s">
        <v>192</v>
      </c>
      <c r="I29" s="8" t="s">
        <v>93</v>
      </c>
      <c r="J29" s="9">
        <v>1</v>
      </c>
      <c r="K29" s="9">
        <v>320</v>
      </c>
      <c r="L29" s="9">
        <v>2022</v>
      </c>
      <c r="M29" s="8" t="s">
        <v>193</v>
      </c>
      <c r="N29" s="8" t="s">
        <v>40</v>
      </c>
      <c r="O29" s="8" t="s">
        <v>41</v>
      </c>
      <c r="P29" s="6" t="s">
        <v>95</v>
      </c>
      <c r="Q29" s="8" t="s">
        <v>96</v>
      </c>
      <c r="R29" s="10" t="s">
        <v>130</v>
      </c>
      <c r="S29" s="11" t="s">
        <v>194</v>
      </c>
      <c r="T29" s="6"/>
      <c r="U29" s="28" t="str">
        <f>HYPERLINK("https://media.infra-m.ru/1897/1897880/cover/1897880.jpg", "Обложка")</f>
        <v>Обложка</v>
      </c>
      <c r="V29" s="28" t="str">
        <f>HYPERLINK("https://znanium.com/catalog/product/1910447", "Ознакомиться")</f>
        <v>Ознакомиться</v>
      </c>
      <c r="W29" s="8" t="s">
        <v>195</v>
      </c>
      <c r="X29" s="6"/>
      <c r="Y29" s="6"/>
      <c r="Z29" s="6"/>
      <c r="AA29" s="6" t="s">
        <v>196</v>
      </c>
    </row>
    <row r="30" spans="1:27" s="4" customFormat="1" ht="51.95" customHeight="1">
      <c r="A30" s="5">
        <v>0</v>
      </c>
      <c r="B30" s="6" t="s">
        <v>197</v>
      </c>
      <c r="C30" s="13">
        <v>1500</v>
      </c>
      <c r="D30" s="8" t="s">
        <v>198</v>
      </c>
      <c r="E30" s="8" t="s">
        <v>199</v>
      </c>
      <c r="F30" s="8" t="s">
        <v>191</v>
      </c>
      <c r="G30" s="6" t="s">
        <v>37</v>
      </c>
      <c r="H30" s="6" t="s">
        <v>84</v>
      </c>
      <c r="I30" s="8" t="s">
        <v>93</v>
      </c>
      <c r="J30" s="9">
        <v>1</v>
      </c>
      <c r="K30" s="9">
        <v>333</v>
      </c>
      <c r="L30" s="9">
        <v>2023</v>
      </c>
      <c r="M30" s="8" t="s">
        <v>200</v>
      </c>
      <c r="N30" s="8" t="s">
        <v>40</v>
      </c>
      <c r="O30" s="8" t="s">
        <v>41</v>
      </c>
      <c r="P30" s="6" t="s">
        <v>95</v>
      </c>
      <c r="Q30" s="8" t="s">
        <v>96</v>
      </c>
      <c r="R30" s="10" t="s">
        <v>130</v>
      </c>
      <c r="S30" s="11" t="s">
        <v>201</v>
      </c>
      <c r="T30" s="6"/>
      <c r="U30" s="28" t="str">
        <f>HYPERLINK("https://media.infra-m.ru/2012/2012650/cover/2012650.jpg", "Обложка")</f>
        <v>Обложка</v>
      </c>
      <c r="V30" s="28" t="str">
        <f>HYPERLINK("https://znanium.com/catalog/product/1910447", "Ознакомиться")</f>
        <v>Ознакомиться</v>
      </c>
      <c r="W30" s="8" t="s">
        <v>195</v>
      </c>
      <c r="X30" s="6"/>
      <c r="Y30" s="6"/>
      <c r="Z30" s="6"/>
      <c r="AA30" s="6" t="s">
        <v>202</v>
      </c>
    </row>
    <row r="31" spans="1:27" s="4" customFormat="1" ht="51.95" customHeight="1">
      <c r="A31" s="5">
        <v>0</v>
      </c>
      <c r="B31" s="6" t="s">
        <v>203</v>
      </c>
      <c r="C31" s="13">
        <v>2690</v>
      </c>
      <c r="D31" s="8" t="s">
        <v>204</v>
      </c>
      <c r="E31" s="8" t="s">
        <v>190</v>
      </c>
      <c r="F31" s="8" t="s">
        <v>205</v>
      </c>
      <c r="G31" s="6" t="s">
        <v>37</v>
      </c>
      <c r="H31" s="6" t="s">
        <v>38</v>
      </c>
      <c r="I31" s="8"/>
      <c r="J31" s="9">
        <v>1</v>
      </c>
      <c r="K31" s="9">
        <v>736</v>
      </c>
      <c r="L31" s="9">
        <v>2023</v>
      </c>
      <c r="M31" s="8" t="s">
        <v>206</v>
      </c>
      <c r="N31" s="8" t="s">
        <v>40</v>
      </c>
      <c r="O31" s="8" t="s">
        <v>41</v>
      </c>
      <c r="P31" s="6" t="s">
        <v>95</v>
      </c>
      <c r="Q31" s="8" t="s">
        <v>76</v>
      </c>
      <c r="R31" s="10" t="s">
        <v>207</v>
      </c>
      <c r="S31" s="11" t="s">
        <v>208</v>
      </c>
      <c r="T31" s="6"/>
      <c r="U31" s="28" t="str">
        <f>HYPERLINK("https://media.infra-m.ru/1934/1934044/cover/1934044.jpg", "Обложка")</f>
        <v>Обложка</v>
      </c>
      <c r="V31" s="28" t="str">
        <f>HYPERLINK("https://znanium.com/catalog/product/1934044", "Ознакомиться")</f>
        <v>Ознакомиться</v>
      </c>
      <c r="W31" s="8" t="s">
        <v>114</v>
      </c>
      <c r="X31" s="6"/>
      <c r="Y31" s="6"/>
      <c r="Z31" s="6"/>
      <c r="AA31" s="6" t="s">
        <v>209</v>
      </c>
    </row>
    <row r="32" spans="1:27" s="4" customFormat="1" ht="51.95" customHeight="1">
      <c r="A32" s="5">
        <v>0</v>
      </c>
      <c r="B32" s="6" t="s">
        <v>210</v>
      </c>
      <c r="C32" s="13">
        <v>2300</v>
      </c>
      <c r="D32" s="8" t="s">
        <v>211</v>
      </c>
      <c r="E32" s="8" t="s">
        <v>212</v>
      </c>
      <c r="F32" s="8" t="s">
        <v>213</v>
      </c>
      <c r="G32" s="6" t="s">
        <v>37</v>
      </c>
      <c r="H32" s="6" t="s">
        <v>38</v>
      </c>
      <c r="I32" s="8"/>
      <c r="J32" s="9">
        <v>1</v>
      </c>
      <c r="K32" s="9">
        <v>704</v>
      </c>
      <c r="L32" s="9">
        <v>2019</v>
      </c>
      <c r="M32" s="8" t="s">
        <v>214</v>
      </c>
      <c r="N32" s="8" t="s">
        <v>40</v>
      </c>
      <c r="O32" s="8" t="s">
        <v>41</v>
      </c>
      <c r="P32" s="6" t="s">
        <v>95</v>
      </c>
      <c r="Q32" s="8" t="s">
        <v>76</v>
      </c>
      <c r="R32" s="10" t="s">
        <v>207</v>
      </c>
      <c r="S32" s="11" t="s">
        <v>208</v>
      </c>
      <c r="T32" s="6"/>
      <c r="U32" s="28" t="str">
        <f>HYPERLINK("https://media.infra-m.ru/1071/1071806/cover/1071806.jpg", "Обложка")</f>
        <v>Обложка</v>
      </c>
      <c r="V32" s="28" t="str">
        <f>HYPERLINK("https://znanium.com/catalog/product/1934044", "Ознакомиться")</f>
        <v>Ознакомиться</v>
      </c>
      <c r="W32" s="8" t="s">
        <v>114</v>
      </c>
      <c r="X32" s="6"/>
      <c r="Y32" s="6"/>
      <c r="Z32" s="6"/>
      <c r="AA32" s="6" t="s">
        <v>215</v>
      </c>
    </row>
    <row r="33" spans="1:27" s="4" customFormat="1" ht="51.95" customHeight="1">
      <c r="A33" s="5">
        <v>0</v>
      </c>
      <c r="B33" s="6" t="s">
        <v>216</v>
      </c>
      <c r="C33" s="13">
        <v>2164.9</v>
      </c>
      <c r="D33" s="8" t="s">
        <v>217</v>
      </c>
      <c r="E33" s="8" t="s">
        <v>218</v>
      </c>
      <c r="F33" s="8" t="s">
        <v>219</v>
      </c>
      <c r="G33" s="6" t="s">
        <v>37</v>
      </c>
      <c r="H33" s="6" t="s">
        <v>84</v>
      </c>
      <c r="I33" s="8" t="s">
        <v>93</v>
      </c>
      <c r="J33" s="9">
        <v>1</v>
      </c>
      <c r="K33" s="9">
        <v>481</v>
      </c>
      <c r="L33" s="9">
        <v>2023</v>
      </c>
      <c r="M33" s="8" t="s">
        <v>220</v>
      </c>
      <c r="N33" s="8" t="s">
        <v>40</v>
      </c>
      <c r="O33" s="8" t="s">
        <v>41</v>
      </c>
      <c r="P33" s="6" t="s">
        <v>75</v>
      </c>
      <c r="Q33" s="8" t="s">
        <v>96</v>
      </c>
      <c r="R33" s="10" t="s">
        <v>181</v>
      </c>
      <c r="S33" s="11" t="s">
        <v>221</v>
      </c>
      <c r="T33" s="6"/>
      <c r="U33" s="28" t="str">
        <f>HYPERLINK("https://media.infra-m.ru/1893/1893863/cover/1893863.jpg", "Обложка")</f>
        <v>Обложка</v>
      </c>
      <c r="V33" s="28" t="str">
        <f>HYPERLINK("https://znanium.com/catalog/product/987175", "Ознакомиться")</f>
        <v>Ознакомиться</v>
      </c>
      <c r="W33" s="8" t="s">
        <v>222</v>
      </c>
      <c r="X33" s="6"/>
      <c r="Y33" s="6"/>
      <c r="Z33" s="6"/>
      <c r="AA33" s="6" t="s">
        <v>62</v>
      </c>
    </row>
    <row r="34" spans="1:27" s="4" customFormat="1" ht="51.95" customHeight="1">
      <c r="A34" s="5">
        <v>0</v>
      </c>
      <c r="B34" s="6" t="s">
        <v>223</v>
      </c>
      <c r="C34" s="7">
        <v>89.9</v>
      </c>
      <c r="D34" s="8" t="s">
        <v>224</v>
      </c>
      <c r="E34" s="8" t="s">
        <v>225</v>
      </c>
      <c r="F34" s="8"/>
      <c r="G34" s="6" t="s">
        <v>26</v>
      </c>
      <c r="H34" s="6" t="s">
        <v>52</v>
      </c>
      <c r="I34" s="8" t="s">
        <v>226</v>
      </c>
      <c r="J34" s="9">
        <v>100</v>
      </c>
      <c r="K34" s="9">
        <v>151</v>
      </c>
      <c r="L34" s="9">
        <v>2016</v>
      </c>
      <c r="M34" s="8" t="s">
        <v>227</v>
      </c>
      <c r="N34" s="8" t="s">
        <v>40</v>
      </c>
      <c r="O34" s="8" t="s">
        <v>41</v>
      </c>
      <c r="P34" s="6" t="s">
        <v>228</v>
      </c>
      <c r="Q34" s="8" t="s">
        <v>76</v>
      </c>
      <c r="R34" s="10" t="s">
        <v>106</v>
      </c>
      <c r="S34" s="11"/>
      <c r="T34" s="6"/>
      <c r="U34" s="28" t="str">
        <f>HYPERLINK("https://media.infra-m.ru/0522/0522353/cover/522353.jpg", "Обложка")</f>
        <v>Обложка</v>
      </c>
      <c r="V34" s="28" t="str">
        <f>HYPERLINK("https://znanium.com/catalog/product/522353", "Ознакомиться")</f>
        <v>Ознакомиться</v>
      </c>
      <c r="W34" s="8"/>
      <c r="X34" s="6"/>
      <c r="Y34" s="6"/>
      <c r="Z34" s="6"/>
      <c r="AA34" s="6" t="s">
        <v>229</v>
      </c>
    </row>
    <row r="35" spans="1:27" s="4" customFormat="1" ht="51.95" customHeight="1">
      <c r="A35" s="5">
        <v>0</v>
      </c>
      <c r="B35" s="6" t="s">
        <v>230</v>
      </c>
      <c r="C35" s="13">
        <v>2174</v>
      </c>
      <c r="D35" s="8" t="s">
        <v>231</v>
      </c>
      <c r="E35" s="8" t="s">
        <v>232</v>
      </c>
      <c r="F35" s="8" t="s">
        <v>233</v>
      </c>
      <c r="G35" s="6" t="s">
        <v>37</v>
      </c>
      <c r="H35" s="6" t="s">
        <v>84</v>
      </c>
      <c r="I35" s="8" t="s">
        <v>185</v>
      </c>
      <c r="J35" s="9">
        <v>1</v>
      </c>
      <c r="K35" s="9">
        <v>483</v>
      </c>
      <c r="L35" s="9">
        <v>2023</v>
      </c>
      <c r="M35" s="8" t="s">
        <v>234</v>
      </c>
      <c r="N35" s="8" t="s">
        <v>40</v>
      </c>
      <c r="O35" s="8" t="s">
        <v>41</v>
      </c>
      <c r="P35" s="6" t="s">
        <v>95</v>
      </c>
      <c r="Q35" s="8" t="s">
        <v>76</v>
      </c>
      <c r="R35" s="10" t="s">
        <v>235</v>
      </c>
      <c r="S35" s="11" t="s">
        <v>236</v>
      </c>
      <c r="T35" s="6"/>
      <c r="U35" s="28" t="str">
        <f>HYPERLINK("https://media.infra-m.ru/2021/2021454/cover/2021454.jpg", "Обложка")</f>
        <v>Обложка</v>
      </c>
      <c r="V35" s="28" t="str">
        <f>HYPERLINK("https://znanium.com/catalog/product/1165264", "Ознакомиться")</f>
        <v>Ознакомиться</v>
      </c>
      <c r="W35" s="8" t="s">
        <v>237</v>
      </c>
      <c r="X35" s="6"/>
      <c r="Y35" s="6"/>
      <c r="Z35" s="6"/>
      <c r="AA35" s="6" t="s">
        <v>79</v>
      </c>
    </row>
    <row r="36" spans="1:27" s="4" customFormat="1" ht="51.95" customHeight="1">
      <c r="A36" s="5">
        <v>0</v>
      </c>
      <c r="B36" s="6" t="s">
        <v>238</v>
      </c>
      <c r="C36" s="13">
        <v>1690</v>
      </c>
      <c r="D36" s="8" t="s">
        <v>239</v>
      </c>
      <c r="E36" s="8" t="s">
        <v>232</v>
      </c>
      <c r="F36" s="8" t="s">
        <v>240</v>
      </c>
      <c r="G36" s="6" t="s">
        <v>58</v>
      </c>
      <c r="H36" s="6" t="s">
        <v>38</v>
      </c>
      <c r="I36" s="8"/>
      <c r="J36" s="9">
        <v>1</v>
      </c>
      <c r="K36" s="9">
        <v>496</v>
      </c>
      <c r="L36" s="9">
        <v>2020</v>
      </c>
      <c r="M36" s="8" t="s">
        <v>241</v>
      </c>
      <c r="N36" s="8" t="s">
        <v>40</v>
      </c>
      <c r="O36" s="8" t="s">
        <v>41</v>
      </c>
      <c r="P36" s="6" t="s">
        <v>75</v>
      </c>
      <c r="Q36" s="8" t="s">
        <v>76</v>
      </c>
      <c r="R36" s="10" t="s">
        <v>235</v>
      </c>
      <c r="S36" s="11"/>
      <c r="T36" s="6"/>
      <c r="U36" s="28" t="str">
        <f>HYPERLINK("https://media.infra-m.ru/1061/1061587/cover/1061587.jpg", "Обложка")</f>
        <v>Обложка</v>
      </c>
      <c r="V36" s="28" t="str">
        <f>HYPERLINK("https://znanium.com/catalog/product/1896842", "Ознакомиться")</f>
        <v>Ознакомиться</v>
      </c>
      <c r="W36" s="8" t="s">
        <v>242</v>
      </c>
      <c r="X36" s="6"/>
      <c r="Y36" s="6"/>
      <c r="Z36" s="6"/>
      <c r="AA36" s="6" t="s">
        <v>79</v>
      </c>
    </row>
    <row r="37" spans="1:27" s="4" customFormat="1" ht="51.95" customHeight="1">
      <c r="A37" s="5">
        <v>0</v>
      </c>
      <c r="B37" s="6" t="s">
        <v>243</v>
      </c>
      <c r="C37" s="13">
        <v>2700</v>
      </c>
      <c r="D37" s="8" t="s">
        <v>244</v>
      </c>
      <c r="E37" s="8" t="s">
        <v>245</v>
      </c>
      <c r="F37" s="8" t="s">
        <v>240</v>
      </c>
      <c r="G37" s="6" t="s">
        <v>58</v>
      </c>
      <c r="H37" s="6" t="s">
        <v>38</v>
      </c>
      <c r="I37" s="8"/>
      <c r="J37" s="9">
        <v>1</v>
      </c>
      <c r="K37" s="9">
        <v>624</v>
      </c>
      <c r="L37" s="9">
        <v>2023</v>
      </c>
      <c r="M37" s="8" t="s">
        <v>246</v>
      </c>
      <c r="N37" s="8" t="s">
        <v>40</v>
      </c>
      <c r="O37" s="8" t="s">
        <v>41</v>
      </c>
      <c r="P37" s="6" t="s">
        <v>75</v>
      </c>
      <c r="Q37" s="8" t="s">
        <v>76</v>
      </c>
      <c r="R37" s="10" t="s">
        <v>235</v>
      </c>
      <c r="S37" s="11"/>
      <c r="T37" s="6"/>
      <c r="U37" s="28" t="str">
        <f>HYPERLINK("https://media.infra-m.ru/1896/1896842/cover/1896842.jpg", "Обложка")</f>
        <v>Обложка</v>
      </c>
      <c r="V37" s="28" t="str">
        <f>HYPERLINK("https://znanium.com/catalog/product/1896842", "Ознакомиться")</f>
        <v>Ознакомиться</v>
      </c>
      <c r="W37" s="8" t="s">
        <v>242</v>
      </c>
      <c r="X37" s="6"/>
      <c r="Y37" s="6"/>
      <c r="Z37" s="6"/>
      <c r="AA37" s="6" t="s">
        <v>137</v>
      </c>
    </row>
    <row r="38" spans="1:27" s="4" customFormat="1" ht="51.95" customHeight="1">
      <c r="A38" s="5">
        <v>0</v>
      </c>
      <c r="B38" s="6" t="s">
        <v>247</v>
      </c>
      <c r="C38" s="13">
        <v>1514</v>
      </c>
      <c r="D38" s="8" t="s">
        <v>248</v>
      </c>
      <c r="E38" s="8" t="s">
        <v>249</v>
      </c>
      <c r="F38" s="8" t="s">
        <v>250</v>
      </c>
      <c r="G38" s="6" t="s">
        <v>51</v>
      </c>
      <c r="H38" s="6" t="s">
        <v>84</v>
      </c>
      <c r="I38" s="8" t="s">
        <v>251</v>
      </c>
      <c r="J38" s="9">
        <v>1</v>
      </c>
      <c r="K38" s="9">
        <v>330</v>
      </c>
      <c r="L38" s="9">
        <v>2024</v>
      </c>
      <c r="M38" s="8" t="s">
        <v>252</v>
      </c>
      <c r="N38" s="8" t="s">
        <v>40</v>
      </c>
      <c r="O38" s="8" t="s">
        <v>41</v>
      </c>
      <c r="P38" s="6" t="s">
        <v>42</v>
      </c>
      <c r="Q38" s="8" t="s">
        <v>43</v>
      </c>
      <c r="R38" s="10" t="s">
        <v>253</v>
      </c>
      <c r="S38" s="11"/>
      <c r="T38" s="6"/>
      <c r="U38" s="28" t="str">
        <f>HYPERLINK("https://media.infra-m.ru/2091/2091810/cover/2091810.jpg", "Обложка")</f>
        <v>Обложка</v>
      </c>
      <c r="V38" s="28" t="str">
        <f>HYPERLINK("https://znanium.com/catalog/product/1111367", "Ознакомиться")</f>
        <v>Ознакомиться</v>
      </c>
      <c r="W38" s="8" t="s">
        <v>195</v>
      </c>
      <c r="X38" s="6"/>
      <c r="Y38" s="6"/>
      <c r="Z38" s="6"/>
      <c r="AA38" s="6" t="s">
        <v>62</v>
      </c>
    </row>
    <row r="39" spans="1:27" s="4" customFormat="1" ht="51.95" customHeight="1">
      <c r="A39" s="5">
        <v>0</v>
      </c>
      <c r="B39" s="6" t="s">
        <v>254</v>
      </c>
      <c r="C39" s="13">
        <v>1120</v>
      </c>
      <c r="D39" s="8" t="s">
        <v>255</v>
      </c>
      <c r="E39" s="8" t="s">
        <v>256</v>
      </c>
      <c r="F39" s="8" t="s">
        <v>257</v>
      </c>
      <c r="G39" s="6" t="s">
        <v>37</v>
      </c>
      <c r="H39" s="6" t="s">
        <v>38</v>
      </c>
      <c r="I39" s="8"/>
      <c r="J39" s="9">
        <v>1</v>
      </c>
      <c r="K39" s="9">
        <v>248</v>
      </c>
      <c r="L39" s="9">
        <v>2023</v>
      </c>
      <c r="M39" s="8" t="s">
        <v>258</v>
      </c>
      <c r="N39" s="8" t="s">
        <v>40</v>
      </c>
      <c r="O39" s="8" t="s">
        <v>41</v>
      </c>
      <c r="P39" s="6" t="s">
        <v>42</v>
      </c>
      <c r="Q39" s="8" t="s">
        <v>43</v>
      </c>
      <c r="R39" s="10" t="s">
        <v>130</v>
      </c>
      <c r="S39" s="11"/>
      <c r="T39" s="6"/>
      <c r="U39" s="28" t="str">
        <f>HYPERLINK("https://media.infra-m.ru/1912/1912411/cover/1912411.jpg", "Обложка")</f>
        <v>Обложка</v>
      </c>
      <c r="V39" s="28" t="str">
        <f>HYPERLINK("https://znanium.com/catalog/product/1912411", "Ознакомиться")</f>
        <v>Ознакомиться</v>
      </c>
      <c r="W39" s="8" t="s">
        <v>114</v>
      </c>
      <c r="X39" s="6"/>
      <c r="Y39" s="6"/>
      <c r="Z39" s="6"/>
      <c r="AA39" s="6" t="s">
        <v>79</v>
      </c>
    </row>
    <row r="40" spans="1:27" s="4" customFormat="1" ht="51.95" customHeight="1">
      <c r="A40" s="5">
        <v>0</v>
      </c>
      <c r="B40" s="6" t="s">
        <v>259</v>
      </c>
      <c r="C40" s="7">
        <v>760</v>
      </c>
      <c r="D40" s="8" t="s">
        <v>260</v>
      </c>
      <c r="E40" s="8" t="s">
        <v>261</v>
      </c>
      <c r="F40" s="8" t="s">
        <v>111</v>
      </c>
      <c r="G40" s="6" t="s">
        <v>37</v>
      </c>
      <c r="H40" s="6" t="s">
        <v>38</v>
      </c>
      <c r="I40" s="8"/>
      <c r="J40" s="9">
        <v>1</v>
      </c>
      <c r="K40" s="9">
        <v>168</v>
      </c>
      <c r="L40" s="9">
        <v>2023</v>
      </c>
      <c r="M40" s="8" t="s">
        <v>262</v>
      </c>
      <c r="N40" s="8" t="s">
        <v>40</v>
      </c>
      <c r="O40" s="8" t="s">
        <v>41</v>
      </c>
      <c r="P40" s="6" t="s">
        <v>42</v>
      </c>
      <c r="Q40" s="8" t="s">
        <v>43</v>
      </c>
      <c r="R40" s="10" t="s">
        <v>263</v>
      </c>
      <c r="S40" s="11"/>
      <c r="T40" s="6"/>
      <c r="U40" s="28" t="str">
        <f>HYPERLINK("https://media.infra-m.ru/1900/1900993/cover/1900993.jpg", "Обложка")</f>
        <v>Обложка</v>
      </c>
      <c r="V40" s="28" t="str">
        <f>HYPERLINK("https://znanium.com/catalog/product/1900993", "Ознакомиться")</f>
        <v>Ознакомиться</v>
      </c>
      <c r="W40" s="8" t="s">
        <v>114</v>
      </c>
      <c r="X40" s="6"/>
      <c r="Y40" s="6"/>
      <c r="Z40" s="6"/>
      <c r="AA40" s="6" t="s">
        <v>115</v>
      </c>
    </row>
    <row r="41" spans="1:27" s="4" customFormat="1" ht="51.95" customHeight="1">
      <c r="A41" s="5">
        <v>0</v>
      </c>
      <c r="B41" s="6" t="s">
        <v>264</v>
      </c>
      <c r="C41" s="7">
        <v>640</v>
      </c>
      <c r="D41" s="8" t="s">
        <v>265</v>
      </c>
      <c r="E41" s="8" t="s">
        <v>266</v>
      </c>
      <c r="F41" s="8" t="s">
        <v>267</v>
      </c>
      <c r="G41" s="6" t="s">
        <v>51</v>
      </c>
      <c r="H41" s="6" t="s">
        <v>38</v>
      </c>
      <c r="I41" s="8"/>
      <c r="J41" s="9">
        <v>1</v>
      </c>
      <c r="K41" s="9">
        <v>128</v>
      </c>
      <c r="L41" s="9">
        <v>2023</v>
      </c>
      <c r="M41" s="8" t="s">
        <v>268</v>
      </c>
      <c r="N41" s="8" t="s">
        <v>40</v>
      </c>
      <c r="O41" s="8" t="s">
        <v>41</v>
      </c>
      <c r="P41" s="6" t="s">
        <v>75</v>
      </c>
      <c r="Q41" s="8" t="s">
        <v>76</v>
      </c>
      <c r="R41" s="10" t="s">
        <v>142</v>
      </c>
      <c r="S41" s="11"/>
      <c r="T41" s="6"/>
      <c r="U41" s="28" t="str">
        <f>HYPERLINK("https://media.infra-m.ru/1899/1899514/cover/1899514.jpg", "Обложка")</f>
        <v>Обложка</v>
      </c>
      <c r="V41" s="28" t="str">
        <f>HYPERLINK("https://znanium.com/catalog/product/1899514", "Ознакомиться")</f>
        <v>Ознакомиться</v>
      </c>
      <c r="W41" s="8" t="s">
        <v>114</v>
      </c>
      <c r="X41" s="6"/>
      <c r="Y41" s="6"/>
      <c r="Z41" s="6"/>
      <c r="AA41" s="6" t="s">
        <v>46</v>
      </c>
    </row>
    <row r="42" spans="1:27" s="4" customFormat="1" ht="51.95" customHeight="1">
      <c r="A42" s="5">
        <v>0</v>
      </c>
      <c r="B42" s="6" t="s">
        <v>269</v>
      </c>
      <c r="C42" s="7">
        <v>764</v>
      </c>
      <c r="D42" s="8" t="s">
        <v>270</v>
      </c>
      <c r="E42" s="8" t="s">
        <v>271</v>
      </c>
      <c r="F42" s="8" t="s">
        <v>191</v>
      </c>
      <c r="G42" s="6" t="s">
        <v>58</v>
      </c>
      <c r="H42" s="6" t="s">
        <v>272</v>
      </c>
      <c r="I42" s="8" t="s">
        <v>93</v>
      </c>
      <c r="J42" s="9">
        <v>1</v>
      </c>
      <c r="K42" s="9">
        <v>169</v>
      </c>
      <c r="L42" s="9">
        <v>2023</v>
      </c>
      <c r="M42" s="8" t="s">
        <v>273</v>
      </c>
      <c r="N42" s="8" t="s">
        <v>40</v>
      </c>
      <c r="O42" s="8" t="s">
        <v>41</v>
      </c>
      <c r="P42" s="6" t="s">
        <v>75</v>
      </c>
      <c r="Q42" s="8" t="s">
        <v>96</v>
      </c>
      <c r="R42" s="10" t="s">
        <v>274</v>
      </c>
      <c r="S42" s="11" t="s">
        <v>275</v>
      </c>
      <c r="T42" s="6"/>
      <c r="U42" s="28" t="str">
        <f>HYPERLINK("https://media.infra-m.ru/2061/2061329/cover/2061329.jpg", "Обложка")</f>
        <v>Обложка</v>
      </c>
      <c r="V42" s="28" t="str">
        <f>HYPERLINK("https://znanium.com/catalog/product/1898159", "Ознакомиться")</f>
        <v>Ознакомиться</v>
      </c>
      <c r="W42" s="8" t="s">
        <v>195</v>
      </c>
      <c r="X42" s="6"/>
      <c r="Y42" s="6"/>
      <c r="Z42" s="6"/>
      <c r="AA42" s="6" t="s">
        <v>171</v>
      </c>
    </row>
    <row r="43" spans="1:27" s="4" customFormat="1" ht="44.1" customHeight="1">
      <c r="A43" s="5">
        <v>0</v>
      </c>
      <c r="B43" s="6" t="s">
        <v>276</v>
      </c>
      <c r="C43" s="13">
        <v>1080</v>
      </c>
      <c r="D43" s="8" t="s">
        <v>277</v>
      </c>
      <c r="E43" s="8" t="s">
        <v>278</v>
      </c>
      <c r="F43" s="8" t="s">
        <v>279</v>
      </c>
      <c r="G43" s="6" t="s">
        <v>37</v>
      </c>
      <c r="H43" s="6" t="s">
        <v>38</v>
      </c>
      <c r="I43" s="8"/>
      <c r="J43" s="9">
        <v>1</v>
      </c>
      <c r="K43" s="9">
        <v>240</v>
      </c>
      <c r="L43" s="9">
        <v>2023</v>
      </c>
      <c r="M43" s="8" t="s">
        <v>280</v>
      </c>
      <c r="N43" s="8" t="s">
        <v>40</v>
      </c>
      <c r="O43" s="8" t="s">
        <v>41</v>
      </c>
      <c r="P43" s="6" t="s">
        <v>42</v>
      </c>
      <c r="Q43" s="8" t="s">
        <v>43</v>
      </c>
      <c r="R43" s="10" t="s">
        <v>281</v>
      </c>
      <c r="S43" s="11"/>
      <c r="T43" s="6"/>
      <c r="U43" s="28" t="str">
        <f>HYPERLINK("https://media.infra-m.ru/1915/1915709/cover/1915709.jpg", "Обложка")</f>
        <v>Обложка</v>
      </c>
      <c r="V43" s="28" t="str">
        <f>HYPERLINK("https://znanium.com/catalog/product/1915709", "Ознакомиться")</f>
        <v>Ознакомиться</v>
      </c>
      <c r="W43" s="8" t="s">
        <v>114</v>
      </c>
      <c r="X43" s="6"/>
      <c r="Y43" s="6"/>
      <c r="Z43" s="6"/>
      <c r="AA43" s="6" t="s">
        <v>148</v>
      </c>
    </row>
    <row r="44" spans="1:27" s="4" customFormat="1" ht="51.95" customHeight="1">
      <c r="A44" s="5">
        <v>0</v>
      </c>
      <c r="B44" s="6" t="s">
        <v>282</v>
      </c>
      <c r="C44" s="7">
        <v>814.9</v>
      </c>
      <c r="D44" s="8" t="s">
        <v>283</v>
      </c>
      <c r="E44" s="8" t="s">
        <v>284</v>
      </c>
      <c r="F44" s="8" t="s">
        <v>285</v>
      </c>
      <c r="G44" s="6" t="s">
        <v>51</v>
      </c>
      <c r="H44" s="6" t="s">
        <v>52</v>
      </c>
      <c r="I44" s="8" t="s">
        <v>251</v>
      </c>
      <c r="J44" s="9">
        <v>1</v>
      </c>
      <c r="K44" s="9">
        <v>263</v>
      </c>
      <c r="L44" s="9">
        <v>2017</v>
      </c>
      <c r="M44" s="8" t="s">
        <v>286</v>
      </c>
      <c r="N44" s="8" t="s">
        <v>40</v>
      </c>
      <c r="O44" s="8" t="s">
        <v>41</v>
      </c>
      <c r="P44" s="6" t="s">
        <v>42</v>
      </c>
      <c r="Q44" s="8" t="s">
        <v>43</v>
      </c>
      <c r="R44" s="10" t="s">
        <v>287</v>
      </c>
      <c r="S44" s="11"/>
      <c r="T44" s="6"/>
      <c r="U44" s="12"/>
      <c r="V44" s="28" t="str">
        <f>HYPERLINK("https://znanium.com/catalog/product/1002865", "Ознакомиться")</f>
        <v>Ознакомиться</v>
      </c>
      <c r="W44" s="8" t="s">
        <v>288</v>
      </c>
      <c r="X44" s="6"/>
      <c r="Y44" s="6"/>
      <c r="Z44" s="6"/>
      <c r="AA44" s="6" t="s">
        <v>289</v>
      </c>
    </row>
    <row r="45" spans="1:27" s="4" customFormat="1" ht="44.1" customHeight="1">
      <c r="A45" s="5">
        <v>0</v>
      </c>
      <c r="B45" s="6" t="s">
        <v>290</v>
      </c>
      <c r="C45" s="7">
        <v>461.9</v>
      </c>
      <c r="D45" s="8" t="s">
        <v>291</v>
      </c>
      <c r="E45" s="8" t="s">
        <v>292</v>
      </c>
      <c r="F45" s="8" t="s">
        <v>293</v>
      </c>
      <c r="G45" s="6" t="s">
        <v>26</v>
      </c>
      <c r="H45" s="6" t="s">
        <v>38</v>
      </c>
      <c r="I45" s="8"/>
      <c r="J45" s="14">
        <v>0</v>
      </c>
      <c r="K45" s="9">
        <v>224</v>
      </c>
      <c r="L45" s="9">
        <v>2015</v>
      </c>
      <c r="M45" s="8" t="s">
        <v>294</v>
      </c>
      <c r="N45" s="8" t="s">
        <v>40</v>
      </c>
      <c r="O45" s="8" t="s">
        <v>41</v>
      </c>
      <c r="P45" s="6" t="s">
        <v>295</v>
      </c>
      <c r="Q45" s="8" t="s">
        <v>296</v>
      </c>
      <c r="R45" s="10" t="s">
        <v>297</v>
      </c>
      <c r="S45" s="11"/>
      <c r="T45" s="6"/>
      <c r="U45" s="28" t="str">
        <f>HYPERLINK("https://media.infra-m.ru/0765/0765830/cover/765830.jpg", "Обложка")</f>
        <v>Обложка</v>
      </c>
      <c r="V45" s="28" t="str">
        <f>HYPERLINK("https://znanium.com/catalog/product/513643", "Ознакомиться")</f>
        <v>Ознакомиться</v>
      </c>
      <c r="W45" s="8" t="s">
        <v>78</v>
      </c>
      <c r="X45" s="6"/>
      <c r="Y45" s="6"/>
      <c r="Z45" s="6"/>
      <c r="AA45" s="6" t="s">
        <v>298</v>
      </c>
    </row>
    <row r="46" spans="1:27" s="4" customFormat="1" ht="44.1" customHeight="1">
      <c r="A46" s="5">
        <v>0</v>
      </c>
      <c r="B46" s="6" t="s">
        <v>299</v>
      </c>
      <c r="C46" s="7">
        <v>430</v>
      </c>
      <c r="D46" s="8" t="s">
        <v>300</v>
      </c>
      <c r="E46" s="8" t="s">
        <v>301</v>
      </c>
      <c r="F46" s="8" t="s">
        <v>302</v>
      </c>
      <c r="G46" s="6" t="s">
        <v>51</v>
      </c>
      <c r="H46" s="6" t="s">
        <v>38</v>
      </c>
      <c r="I46" s="8"/>
      <c r="J46" s="9">
        <v>1</v>
      </c>
      <c r="K46" s="9">
        <v>96</v>
      </c>
      <c r="L46" s="9">
        <v>2023</v>
      </c>
      <c r="M46" s="8" t="s">
        <v>303</v>
      </c>
      <c r="N46" s="8" t="s">
        <v>40</v>
      </c>
      <c r="O46" s="8" t="s">
        <v>41</v>
      </c>
      <c r="P46" s="6" t="s">
        <v>75</v>
      </c>
      <c r="Q46" s="8" t="s">
        <v>157</v>
      </c>
      <c r="R46" s="10" t="s">
        <v>304</v>
      </c>
      <c r="S46" s="11"/>
      <c r="T46" s="6"/>
      <c r="U46" s="28" t="str">
        <f>HYPERLINK("https://media.infra-m.ru/2041/2041713/cover/2041713.jpg", "Обложка")</f>
        <v>Обложка</v>
      </c>
      <c r="V46" s="28" t="str">
        <f>HYPERLINK("https://znanium.com/catalog/product/1903391", "Ознакомиться")</f>
        <v>Ознакомиться</v>
      </c>
      <c r="W46" s="8" t="s">
        <v>114</v>
      </c>
      <c r="X46" s="6"/>
      <c r="Y46" s="6"/>
      <c r="Z46" s="6"/>
      <c r="AA46" s="6" t="s">
        <v>62</v>
      </c>
    </row>
    <row r="47" spans="1:27" s="4" customFormat="1" ht="42" customHeight="1">
      <c r="A47" s="5">
        <v>0</v>
      </c>
      <c r="B47" s="6" t="s">
        <v>305</v>
      </c>
      <c r="C47" s="13">
        <v>1230</v>
      </c>
      <c r="D47" s="8" t="s">
        <v>306</v>
      </c>
      <c r="E47" s="8" t="s">
        <v>307</v>
      </c>
      <c r="F47" s="8" t="s">
        <v>308</v>
      </c>
      <c r="G47" s="6" t="s">
        <v>51</v>
      </c>
      <c r="H47" s="6" t="s">
        <v>38</v>
      </c>
      <c r="I47" s="8"/>
      <c r="J47" s="9">
        <v>1</v>
      </c>
      <c r="K47" s="9">
        <v>272</v>
      </c>
      <c r="L47" s="9">
        <v>2023</v>
      </c>
      <c r="M47" s="8" t="s">
        <v>309</v>
      </c>
      <c r="N47" s="8" t="s">
        <v>40</v>
      </c>
      <c r="O47" s="8" t="s">
        <v>41</v>
      </c>
      <c r="P47" s="6" t="s">
        <v>42</v>
      </c>
      <c r="Q47" s="8" t="s">
        <v>43</v>
      </c>
      <c r="R47" s="10" t="s">
        <v>310</v>
      </c>
      <c r="S47" s="11"/>
      <c r="T47" s="6"/>
      <c r="U47" s="28" t="str">
        <f>HYPERLINK("https://media.infra-m.ru/1892/1892038/cover/1892038.jpg", "Обложка")</f>
        <v>Обложка</v>
      </c>
      <c r="V47" s="28" t="str">
        <f>HYPERLINK("https://znanium.com/catalog/product/1892038", "Ознакомиться")</f>
        <v>Ознакомиться</v>
      </c>
      <c r="W47" s="8" t="s">
        <v>78</v>
      </c>
      <c r="X47" s="6"/>
      <c r="Y47" s="6"/>
      <c r="Z47" s="6"/>
      <c r="AA47" s="6" t="s">
        <v>311</v>
      </c>
    </row>
    <row r="48" spans="1:27" s="4" customFormat="1" ht="51.95" customHeight="1">
      <c r="A48" s="5">
        <v>0</v>
      </c>
      <c r="B48" s="6" t="s">
        <v>312</v>
      </c>
      <c r="C48" s="7">
        <v>470</v>
      </c>
      <c r="D48" s="8" t="s">
        <v>313</v>
      </c>
      <c r="E48" s="8" t="s">
        <v>314</v>
      </c>
      <c r="F48" s="8" t="s">
        <v>315</v>
      </c>
      <c r="G48" s="6" t="s">
        <v>51</v>
      </c>
      <c r="H48" s="6" t="s">
        <v>84</v>
      </c>
      <c r="I48" s="8" t="s">
        <v>316</v>
      </c>
      <c r="J48" s="9">
        <v>1</v>
      </c>
      <c r="K48" s="9">
        <v>105</v>
      </c>
      <c r="L48" s="9">
        <v>2023</v>
      </c>
      <c r="M48" s="8" t="s">
        <v>317</v>
      </c>
      <c r="N48" s="8" t="s">
        <v>40</v>
      </c>
      <c r="O48" s="8" t="s">
        <v>41</v>
      </c>
      <c r="P48" s="6" t="s">
        <v>75</v>
      </c>
      <c r="Q48" s="8" t="s">
        <v>157</v>
      </c>
      <c r="R48" s="10" t="s">
        <v>318</v>
      </c>
      <c r="S48" s="11" t="s">
        <v>319</v>
      </c>
      <c r="T48" s="6"/>
      <c r="U48" s="28" t="str">
        <f>HYPERLINK("https://media.infra-m.ru/1937/1937953/cover/1937953.jpg", "Обложка")</f>
        <v>Обложка</v>
      </c>
      <c r="V48" s="28" t="str">
        <f>HYPERLINK("https://znanium.com/catalog/product/1937953", "Ознакомиться")</f>
        <v>Ознакомиться</v>
      </c>
      <c r="W48" s="8" t="s">
        <v>170</v>
      </c>
      <c r="X48" s="6"/>
      <c r="Y48" s="6"/>
      <c r="Z48" s="6"/>
      <c r="AA48" s="6" t="s">
        <v>320</v>
      </c>
    </row>
    <row r="49" spans="1:27" s="4" customFormat="1" ht="51.95" customHeight="1">
      <c r="A49" s="5">
        <v>0</v>
      </c>
      <c r="B49" s="6" t="s">
        <v>321</v>
      </c>
      <c r="C49" s="13">
        <v>1994.9</v>
      </c>
      <c r="D49" s="8" t="s">
        <v>322</v>
      </c>
      <c r="E49" s="8" t="s">
        <v>323</v>
      </c>
      <c r="F49" s="8" t="s">
        <v>324</v>
      </c>
      <c r="G49" s="6" t="s">
        <v>58</v>
      </c>
      <c r="H49" s="6" t="s">
        <v>38</v>
      </c>
      <c r="I49" s="8"/>
      <c r="J49" s="9">
        <v>1</v>
      </c>
      <c r="K49" s="9">
        <v>576</v>
      </c>
      <c r="L49" s="9">
        <v>2023</v>
      </c>
      <c r="M49" s="8" t="s">
        <v>325</v>
      </c>
      <c r="N49" s="8" t="s">
        <v>40</v>
      </c>
      <c r="O49" s="8" t="s">
        <v>41</v>
      </c>
      <c r="P49" s="6" t="s">
        <v>75</v>
      </c>
      <c r="Q49" s="8" t="s">
        <v>157</v>
      </c>
      <c r="R49" s="10" t="s">
        <v>122</v>
      </c>
      <c r="S49" s="11" t="s">
        <v>326</v>
      </c>
      <c r="T49" s="6"/>
      <c r="U49" s="28" t="str">
        <f>HYPERLINK("https://media.infra-m.ru/1841/1841426/cover/1841426.jpg", "Обложка")</f>
        <v>Обложка</v>
      </c>
      <c r="V49" s="28" t="str">
        <f>HYPERLINK("https://znanium.com/catalog/product/997102", "Ознакомиться")</f>
        <v>Ознакомиться</v>
      </c>
      <c r="W49" s="8" t="s">
        <v>195</v>
      </c>
      <c r="X49" s="6"/>
      <c r="Y49" s="6"/>
      <c r="Z49" s="6"/>
      <c r="AA49" s="6" t="s">
        <v>327</v>
      </c>
    </row>
    <row r="50" spans="1:27" s="4" customFormat="1" ht="51.95" customHeight="1">
      <c r="A50" s="5">
        <v>0</v>
      </c>
      <c r="B50" s="6" t="s">
        <v>328</v>
      </c>
      <c r="C50" s="7">
        <v>860</v>
      </c>
      <c r="D50" s="8" t="s">
        <v>329</v>
      </c>
      <c r="E50" s="8" t="s">
        <v>330</v>
      </c>
      <c r="F50" s="8" t="s">
        <v>331</v>
      </c>
      <c r="G50" s="6" t="s">
        <v>37</v>
      </c>
      <c r="H50" s="6" t="s">
        <v>84</v>
      </c>
      <c r="I50" s="8" t="s">
        <v>316</v>
      </c>
      <c r="J50" s="9">
        <v>1</v>
      </c>
      <c r="K50" s="9">
        <v>190</v>
      </c>
      <c r="L50" s="9">
        <v>2023</v>
      </c>
      <c r="M50" s="8" t="s">
        <v>332</v>
      </c>
      <c r="N50" s="8" t="s">
        <v>40</v>
      </c>
      <c r="O50" s="8" t="s">
        <v>41</v>
      </c>
      <c r="P50" s="6" t="s">
        <v>75</v>
      </c>
      <c r="Q50" s="8" t="s">
        <v>157</v>
      </c>
      <c r="R50" s="10" t="s">
        <v>318</v>
      </c>
      <c r="S50" s="11" t="s">
        <v>333</v>
      </c>
      <c r="T50" s="6"/>
      <c r="U50" s="28" t="str">
        <f>HYPERLINK("https://media.infra-m.ru/1905/1905679/cover/1905679.jpg", "Обложка")</f>
        <v>Обложка</v>
      </c>
      <c r="V50" s="28" t="str">
        <f>HYPERLINK("https://znanium.com/catalog/product/1905679", "Ознакомиться")</f>
        <v>Ознакомиться</v>
      </c>
      <c r="W50" s="8" t="s">
        <v>334</v>
      </c>
      <c r="X50" s="6"/>
      <c r="Y50" s="6"/>
      <c r="Z50" s="6"/>
      <c r="AA50" s="6" t="s">
        <v>115</v>
      </c>
    </row>
    <row r="51" spans="1:27" s="4" customFormat="1" ht="51.95" customHeight="1">
      <c r="A51" s="5">
        <v>0</v>
      </c>
      <c r="B51" s="6" t="s">
        <v>335</v>
      </c>
      <c r="C51" s="13">
        <v>1400</v>
      </c>
      <c r="D51" s="8" t="s">
        <v>336</v>
      </c>
      <c r="E51" s="8" t="s">
        <v>337</v>
      </c>
      <c r="F51" s="8" t="s">
        <v>338</v>
      </c>
      <c r="G51" s="6" t="s">
        <v>58</v>
      </c>
      <c r="H51" s="6" t="s">
        <v>84</v>
      </c>
      <c r="I51" s="8" t="s">
        <v>316</v>
      </c>
      <c r="J51" s="9">
        <v>1</v>
      </c>
      <c r="K51" s="9">
        <v>307</v>
      </c>
      <c r="L51" s="9">
        <v>2022</v>
      </c>
      <c r="M51" s="8" t="s">
        <v>339</v>
      </c>
      <c r="N51" s="8" t="s">
        <v>40</v>
      </c>
      <c r="O51" s="8" t="s">
        <v>41</v>
      </c>
      <c r="P51" s="6" t="s">
        <v>95</v>
      </c>
      <c r="Q51" s="8" t="s">
        <v>157</v>
      </c>
      <c r="R51" s="10" t="s">
        <v>340</v>
      </c>
      <c r="S51" s="11" t="s">
        <v>341</v>
      </c>
      <c r="T51" s="6"/>
      <c r="U51" s="28" t="str">
        <f>HYPERLINK("https://media.infra-m.ru/1864/1864665/cover/1864665.jpg", "Обложка")</f>
        <v>Обложка</v>
      </c>
      <c r="V51" s="28" t="str">
        <f>HYPERLINK("https://znanium.com/catalog/product/1864665", "Ознакомиться")</f>
        <v>Ознакомиться</v>
      </c>
      <c r="W51" s="8" t="s">
        <v>342</v>
      </c>
      <c r="X51" s="6"/>
      <c r="Y51" s="6"/>
      <c r="Z51" s="6"/>
      <c r="AA51" s="6" t="s">
        <v>343</v>
      </c>
    </row>
    <row r="52" spans="1:27" s="4" customFormat="1" ht="42" customHeight="1">
      <c r="A52" s="5">
        <v>0</v>
      </c>
      <c r="B52" s="6" t="s">
        <v>344</v>
      </c>
      <c r="C52" s="13">
        <v>1040</v>
      </c>
      <c r="D52" s="8" t="s">
        <v>345</v>
      </c>
      <c r="E52" s="8" t="s">
        <v>346</v>
      </c>
      <c r="F52" s="8" t="s">
        <v>347</v>
      </c>
      <c r="G52" s="6" t="s">
        <v>51</v>
      </c>
      <c r="H52" s="6" t="s">
        <v>84</v>
      </c>
      <c r="I52" s="8" t="s">
        <v>251</v>
      </c>
      <c r="J52" s="9">
        <v>1</v>
      </c>
      <c r="K52" s="9">
        <v>232</v>
      </c>
      <c r="L52" s="9">
        <v>2023</v>
      </c>
      <c r="M52" s="8" t="s">
        <v>348</v>
      </c>
      <c r="N52" s="8" t="s">
        <v>40</v>
      </c>
      <c r="O52" s="8" t="s">
        <v>41</v>
      </c>
      <c r="P52" s="6" t="s">
        <v>295</v>
      </c>
      <c r="Q52" s="8" t="s">
        <v>43</v>
      </c>
      <c r="R52" s="10" t="s">
        <v>340</v>
      </c>
      <c r="S52" s="11"/>
      <c r="T52" s="6"/>
      <c r="U52" s="28" t="str">
        <f>HYPERLINK("https://media.infra-m.ru/1895/1895176/cover/1895176.jpg", "Обложка")</f>
        <v>Обложка</v>
      </c>
      <c r="V52" s="28" t="str">
        <f>HYPERLINK("https://znanium.com/catalog/product/1895176", "Ознакомиться")</f>
        <v>Ознакомиться</v>
      </c>
      <c r="W52" s="8" t="s">
        <v>237</v>
      </c>
      <c r="X52" s="6"/>
      <c r="Y52" s="6"/>
      <c r="Z52" s="6"/>
      <c r="AA52" s="6" t="s">
        <v>88</v>
      </c>
    </row>
    <row r="53" spans="1:27" s="4" customFormat="1" ht="51.95" customHeight="1">
      <c r="A53" s="5">
        <v>0</v>
      </c>
      <c r="B53" s="6" t="s">
        <v>349</v>
      </c>
      <c r="C53" s="7">
        <v>360</v>
      </c>
      <c r="D53" s="8" t="s">
        <v>350</v>
      </c>
      <c r="E53" s="8" t="s">
        <v>351</v>
      </c>
      <c r="F53" s="8" t="s">
        <v>315</v>
      </c>
      <c r="G53" s="6" t="s">
        <v>51</v>
      </c>
      <c r="H53" s="6" t="s">
        <v>84</v>
      </c>
      <c r="I53" s="8" t="s">
        <v>316</v>
      </c>
      <c r="J53" s="9">
        <v>1</v>
      </c>
      <c r="K53" s="9">
        <v>88</v>
      </c>
      <c r="L53" s="9">
        <v>2019</v>
      </c>
      <c r="M53" s="8" t="s">
        <v>352</v>
      </c>
      <c r="N53" s="8" t="s">
        <v>40</v>
      </c>
      <c r="O53" s="8" t="s">
        <v>41</v>
      </c>
      <c r="P53" s="6" t="s">
        <v>75</v>
      </c>
      <c r="Q53" s="8" t="s">
        <v>157</v>
      </c>
      <c r="R53" s="10" t="s">
        <v>318</v>
      </c>
      <c r="S53" s="11" t="s">
        <v>353</v>
      </c>
      <c r="T53" s="6"/>
      <c r="U53" s="28" t="str">
        <f>HYPERLINK("https://media.infra-m.ru/1020/1020717/cover/1020717.jpg", "Обложка")</f>
        <v>Обложка</v>
      </c>
      <c r="V53" s="28" t="str">
        <f>HYPERLINK("https://znanium.com/catalog/product/1937953", "Ознакомиться")</f>
        <v>Ознакомиться</v>
      </c>
      <c r="W53" s="8" t="s">
        <v>170</v>
      </c>
      <c r="X53" s="6"/>
      <c r="Y53" s="6"/>
      <c r="Z53" s="6"/>
      <c r="AA53" s="6" t="s">
        <v>46</v>
      </c>
    </row>
    <row r="54" spans="1:27" s="4" customFormat="1" ht="51.95" customHeight="1">
      <c r="A54" s="5">
        <v>0</v>
      </c>
      <c r="B54" s="6" t="s">
        <v>354</v>
      </c>
      <c r="C54" s="13">
        <v>1220</v>
      </c>
      <c r="D54" s="8" t="s">
        <v>355</v>
      </c>
      <c r="E54" s="8" t="s">
        <v>356</v>
      </c>
      <c r="F54" s="8" t="s">
        <v>357</v>
      </c>
      <c r="G54" s="6" t="s">
        <v>37</v>
      </c>
      <c r="H54" s="6" t="s">
        <v>84</v>
      </c>
      <c r="I54" s="8" t="s">
        <v>358</v>
      </c>
      <c r="J54" s="9">
        <v>1</v>
      </c>
      <c r="K54" s="9">
        <v>322</v>
      </c>
      <c r="L54" s="9">
        <v>2022</v>
      </c>
      <c r="M54" s="8" t="s">
        <v>359</v>
      </c>
      <c r="N54" s="8" t="s">
        <v>40</v>
      </c>
      <c r="O54" s="8" t="s">
        <v>41</v>
      </c>
      <c r="P54" s="6" t="s">
        <v>75</v>
      </c>
      <c r="Q54" s="8" t="s">
        <v>157</v>
      </c>
      <c r="R54" s="10" t="s">
        <v>360</v>
      </c>
      <c r="S54" s="11" t="s">
        <v>361</v>
      </c>
      <c r="T54" s="6"/>
      <c r="U54" s="28" t="str">
        <f>HYPERLINK("https://media.infra-m.ru/1856/1856883/cover/1856883.jpg", "Обложка")</f>
        <v>Обложка</v>
      </c>
      <c r="V54" s="28" t="str">
        <f>HYPERLINK("https://znanium.com/catalog/product/1856883", "Ознакомиться")</f>
        <v>Ознакомиться</v>
      </c>
      <c r="W54" s="8" t="s">
        <v>334</v>
      </c>
      <c r="X54" s="6"/>
      <c r="Y54" s="6"/>
      <c r="Z54" s="6"/>
      <c r="AA54" s="6" t="s">
        <v>148</v>
      </c>
    </row>
    <row r="55" spans="1:27" s="4" customFormat="1" ht="51.95" customHeight="1">
      <c r="A55" s="5">
        <v>0</v>
      </c>
      <c r="B55" s="6" t="s">
        <v>362</v>
      </c>
      <c r="C55" s="13">
        <v>1600</v>
      </c>
      <c r="D55" s="8" t="s">
        <v>363</v>
      </c>
      <c r="E55" s="8" t="s">
        <v>364</v>
      </c>
      <c r="F55" s="8" t="s">
        <v>365</v>
      </c>
      <c r="G55" s="6" t="s">
        <v>58</v>
      </c>
      <c r="H55" s="6" t="s">
        <v>84</v>
      </c>
      <c r="I55" s="8" t="s">
        <v>316</v>
      </c>
      <c r="J55" s="9">
        <v>1</v>
      </c>
      <c r="K55" s="9">
        <v>402</v>
      </c>
      <c r="L55" s="9">
        <v>2022</v>
      </c>
      <c r="M55" s="8" t="s">
        <v>366</v>
      </c>
      <c r="N55" s="8" t="s">
        <v>40</v>
      </c>
      <c r="O55" s="8" t="s">
        <v>41</v>
      </c>
      <c r="P55" s="6" t="s">
        <v>95</v>
      </c>
      <c r="Q55" s="8" t="s">
        <v>157</v>
      </c>
      <c r="R55" s="10" t="s">
        <v>340</v>
      </c>
      <c r="S55" s="11" t="s">
        <v>367</v>
      </c>
      <c r="T55" s="6" t="s">
        <v>368</v>
      </c>
      <c r="U55" s="28" t="str">
        <f>HYPERLINK("https://media.infra-m.ru/0906/0906258/cover/906258.jpg", "Обложка")</f>
        <v>Обложка</v>
      </c>
      <c r="V55" s="28" t="str">
        <f>HYPERLINK("https://znanium.com/catalog/product/906258", "Ознакомиться")</f>
        <v>Ознакомиться</v>
      </c>
      <c r="W55" s="8" t="s">
        <v>195</v>
      </c>
      <c r="X55" s="6"/>
      <c r="Y55" s="6"/>
      <c r="Z55" s="6"/>
      <c r="AA55" s="6" t="s">
        <v>343</v>
      </c>
    </row>
    <row r="56" spans="1:27" s="4" customFormat="1" ht="51.95" customHeight="1">
      <c r="A56" s="5">
        <v>0</v>
      </c>
      <c r="B56" s="6" t="s">
        <v>369</v>
      </c>
      <c r="C56" s="13">
        <v>1280</v>
      </c>
      <c r="D56" s="8" t="s">
        <v>370</v>
      </c>
      <c r="E56" s="8" t="s">
        <v>371</v>
      </c>
      <c r="F56" s="8" t="s">
        <v>372</v>
      </c>
      <c r="G56" s="6" t="s">
        <v>37</v>
      </c>
      <c r="H56" s="6" t="s">
        <v>38</v>
      </c>
      <c r="I56" s="8"/>
      <c r="J56" s="9">
        <v>1</v>
      </c>
      <c r="K56" s="9">
        <v>304</v>
      </c>
      <c r="L56" s="9">
        <v>2022</v>
      </c>
      <c r="M56" s="8" t="s">
        <v>373</v>
      </c>
      <c r="N56" s="8" t="s">
        <v>40</v>
      </c>
      <c r="O56" s="8" t="s">
        <v>41</v>
      </c>
      <c r="P56" s="6" t="s">
        <v>95</v>
      </c>
      <c r="Q56" s="8" t="s">
        <v>157</v>
      </c>
      <c r="R56" s="10" t="s">
        <v>122</v>
      </c>
      <c r="S56" s="11" t="s">
        <v>374</v>
      </c>
      <c r="T56" s="6"/>
      <c r="U56" s="28" t="str">
        <f>HYPERLINK("https://media.infra-m.ru/1873/1873767/cover/1873767.jpg", "Обложка")</f>
        <v>Обложка</v>
      </c>
      <c r="V56" s="28" t="str">
        <f>HYPERLINK("https://znanium.com/catalog/product/2104321", "Ознакомиться")</f>
        <v>Ознакомиться</v>
      </c>
      <c r="W56" s="8" t="s">
        <v>375</v>
      </c>
      <c r="X56" s="6"/>
      <c r="Y56" s="6"/>
      <c r="Z56" s="6"/>
      <c r="AA56" s="6" t="s">
        <v>298</v>
      </c>
    </row>
    <row r="57" spans="1:27" s="4" customFormat="1" ht="51.95" customHeight="1">
      <c r="A57" s="5">
        <v>0</v>
      </c>
      <c r="B57" s="6" t="s">
        <v>376</v>
      </c>
      <c r="C57" s="13">
        <v>1500</v>
      </c>
      <c r="D57" s="8" t="s">
        <v>377</v>
      </c>
      <c r="E57" s="8" t="s">
        <v>378</v>
      </c>
      <c r="F57" s="8" t="s">
        <v>379</v>
      </c>
      <c r="G57" s="6" t="s">
        <v>37</v>
      </c>
      <c r="H57" s="6" t="s">
        <v>38</v>
      </c>
      <c r="I57" s="8"/>
      <c r="J57" s="9">
        <v>1</v>
      </c>
      <c r="K57" s="9">
        <v>320</v>
      </c>
      <c r="L57" s="9">
        <v>2024</v>
      </c>
      <c r="M57" s="8" t="s">
        <v>380</v>
      </c>
      <c r="N57" s="8" t="s">
        <v>40</v>
      </c>
      <c r="O57" s="8" t="s">
        <v>41</v>
      </c>
      <c r="P57" s="6" t="s">
        <v>95</v>
      </c>
      <c r="Q57" s="8" t="s">
        <v>157</v>
      </c>
      <c r="R57" s="10" t="s">
        <v>122</v>
      </c>
      <c r="S57" s="11" t="s">
        <v>374</v>
      </c>
      <c r="T57" s="6"/>
      <c r="U57" s="28" t="str">
        <f>HYPERLINK("https://media.infra-m.ru/2104/2104321/cover/2104321.jpg", "Обложка")</f>
        <v>Обложка</v>
      </c>
      <c r="V57" s="28" t="str">
        <f>HYPERLINK("https://znanium.com/catalog/product/2104321", "Ознакомиться")</f>
        <v>Ознакомиться</v>
      </c>
      <c r="W57" s="8" t="s">
        <v>375</v>
      </c>
      <c r="X57" s="6" t="s">
        <v>381</v>
      </c>
      <c r="Y57" s="6"/>
      <c r="Z57" s="6"/>
      <c r="AA57" s="6" t="s">
        <v>382</v>
      </c>
    </row>
    <row r="58" spans="1:27" s="4" customFormat="1" ht="51.95" customHeight="1">
      <c r="A58" s="5">
        <v>0</v>
      </c>
      <c r="B58" s="6" t="s">
        <v>383</v>
      </c>
      <c r="C58" s="13">
        <v>1494</v>
      </c>
      <c r="D58" s="8" t="s">
        <v>384</v>
      </c>
      <c r="E58" s="8" t="s">
        <v>385</v>
      </c>
      <c r="F58" s="8" t="s">
        <v>386</v>
      </c>
      <c r="G58" s="6" t="s">
        <v>37</v>
      </c>
      <c r="H58" s="6" t="s">
        <v>84</v>
      </c>
      <c r="I58" s="8" t="s">
        <v>316</v>
      </c>
      <c r="J58" s="9">
        <v>1</v>
      </c>
      <c r="K58" s="9">
        <v>330</v>
      </c>
      <c r="L58" s="9">
        <v>2023</v>
      </c>
      <c r="M58" s="8" t="s">
        <v>387</v>
      </c>
      <c r="N58" s="8" t="s">
        <v>40</v>
      </c>
      <c r="O58" s="8" t="s">
        <v>41</v>
      </c>
      <c r="P58" s="6" t="s">
        <v>95</v>
      </c>
      <c r="Q58" s="8" t="s">
        <v>157</v>
      </c>
      <c r="R58" s="10" t="s">
        <v>318</v>
      </c>
      <c r="S58" s="11" t="s">
        <v>388</v>
      </c>
      <c r="T58" s="6"/>
      <c r="U58" s="28" t="str">
        <f>HYPERLINK("https://media.infra-m.ru/2006/2006021/cover/2006021.jpg", "Обложка")</f>
        <v>Обложка</v>
      </c>
      <c r="V58" s="28" t="str">
        <f>HYPERLINK("https://znanium.com/catalog/product/1066084", "Ознакомиться")</f>
        <v>Ознакомиться</v>
      </c>
      <c r="W58" s="8" t="s">
        <v>389</v>
      </c>
      <c r="X58" s="6"/>
      <c r="Y58" s="6"/>
      <c r="Z58" s="6"/>
      <c r="AA58" s="6" t="s">
        <v>46</v>
      </c>
    </row>
    <row r="59" spans="1:27" s="4" customFormat="1" ht="51.95" customHeight="1">
      <c r="A59" s="5">
        <v>0</v>
      </c>
      <c r="B59" s="6" t="s">
        <v>390</v>
      </c>
      <c r="C59" s="13">
        <v>1440</v>
      </c>
      <c r="D59" s="8" t="s">
        <v>391</v>
      </c>
      <c r="E59" s="8" t="s">
        <v>392</v>
      </c>
      <c r="F59" s="8" t="s">
        <v>393</v>
      </c>
      <c r="G59" s="6" t="s">
        <v>37</v>
      </c>
      <c r="H59" s="6" t="s">
        <v>84</v>
      </c>
      <c r="I59" s="8" t="s">
        <v>358</v>
      </c>
      <c r="J59" s="9">
        <v>1</v>
      </c>
      <c r="K59" s="9">
        <v>320</v>
      </c>
      <c r="L59" s="9">
        <v>2023</v>
      </c>
      <c r="M59" s="8" t="s">
        <v>394</v>
      </c>
      <c r="N59" s="8" t="s">
        <v>40</v>
      </c>
      <c r="O59" s="8" t="s">
        <v>41</v>
      </c>
      <c r="P59" s="6" t="s">
        <v>95</v>
      </c>
      <c r="Q59" s="8" t="s">
        <v>157</v>
      </c>
      <c r="R59" s="10" t="s">
        <v>340</v>
      </c>
      <c r="S59" s="11" t="s">
        <v>395</v>
      </c>
      <c r="T59" s="6"/>
      <c r="U59" s="28" t="str">
        <f>HYPERLINK("https://media.infra-m.ru/1905/1905104/cover/1905104.jpg", "Обложка")</f>
        <v>Обложка</v>
      </c>
      <c r="V59" s="28" t="str">
        <f>HYPERLINK("https://znanium.com/catalog/product/1905104", "Ознакомиться")</f>
        <v>Ознакомиться</v>
      </c>
      <c r="W59" s="8" t="s">
        <v>334</v>
      </c>
      <c r="X59" s="6"/>
      <c r="Y59" s="6"/>
      <c r="Z59" s="6"/>
      <c r="AA59" s="6" t="s">
        <v>62</v>
      </c>
    </row>
    <row r="60" spans="1:27" s="4" customFormat="1" ht="51.95" customHeight="1">
      <c r="A60" s="5">
        <v>0</v>
      </c>
      <c r="B60" s="6" t="s">
        <v>396</v>
      </c>
      <c r="C60" s="13">
        <v>1590</v>
      </c>
      <c r="D60" s="8" t="s">
        <v>397</v>
      </c>
      <c r="E60" s="8" t="s">
        <v>398</v>
      </c>
      <c r="F60" s="8" t="s">
        <v>399</v>
      </c>
      <c r="G60" s="6" t="s">
        <v>37</v>
      </c>
      <c r="H60" s="6" t="s">
        <v>400</v>
      </c>
      <c r="I60" s="8"/>
      <c r="J60" s="9">
        <v>1</v>
      </c>
      <c r="K60" s="9">
        <v>352</v>
      </c>
      <c r="L60" s="9">
        <v>2023</v>
      </c>
      <c r="M60" s="8" t="s">
        <v>401</v>
      </c>
      <c r="N60" s="8" t="s">
        <v>40</v>
      </c>
      <c r="O60" s="8" t="s">
        <v>41</v>
      </c>
      <c r="P60" s="6" t="s">
        <v>95</v>
      </c>
      <c r="Q60" s="8" t="s">
        <v>157</v>
      </c>
      <c r="R60" s="10" t="s">
        <v>318</v>
      </c>
      <c r="S60" s="11"/>
      <c r="T60" s="6"/>
      <c r="U60" s="28" t="str">
        <f>HYPERLINK("https://media.infra-m.ru/1906/1906884/cover/1906884.jpg", "Обложка")</f>
        <v>Обложка</v>
      </c>
      <c r="V60" s="28" t="str">
        <f>HYPERLINK("https://znanium.com/catalog/product/1906884", "Ознакомиться")</f>
        <v>Ознакомиться</v>
      </c>
      <c r="W60" s="8" t="s">
        <v>195</v>
      </c>
      <c r="X60" s="6"/>
      <c r="Y60" s="6"/>
      <c r="Z60" s="6"/>
      <c r="AA60" s="6" t="s">
        <v>88</v>
      </c>
    </row>
    <row r="61" spans="1:27" s="4" customFormat="1" ht="42" customHeight="1">
      <c r="A61" s="5">
        <v>0</v>
      </c>
      <c r="B61" s="6" t="s">
        <v>402</v>
      </c>
      <c r="C61" s="7">
        <v>920</v>
      </c>
      <c r="D61" s="8" t="s">
        <v>403</v>
      </c>
      <c r="E61" s="8" t="s">
        <v>404</v>
      </c>
      <c r="F61" s="8" t="s">
        <v>405</v>
      </c>
      <c r="G61" s="6" t="s">
        <v>58</v>
      </c>
      <c r="H61" s="6" t="s">
        <v>84</v>
      </c>
      <c r="I61" s="8" t="s">
        <v>251</v>
      </c>
      <c r="J61" s="9">
        <v>1</v>
      </c>
      <c r="K61" s="9">
        <v>204</v>
      </c>
      <c r="L61" s="9">
        <v>2023</v>
      </c>
      <c r="M61" s="8" t="s">
        <v>406</v>
      </c>
      <c r="N61" s="8" t="s">
        <v>40</v>
      </c>
      <c r="O61" s="8" t="s">
        <v>41</v>
      </c>
      <c r="P61" s="6" t="s">
        <v>42</v>
      </c>
      <c r="Q61" s="8" t="s">
        <v>43</v>
      </c>
      <c r="R61" s="10" t="s">
        <v>69</v>
      </c>
      <c r="S61" s="11"/>
      <c r="T61" s="6"/>
      <c r="U61" s="28" t="str">
        <f>HYPERLINK("https://media.infra-m.ru/1911/1911445/cover/1911445.jpg", "Обложка")</f>
        <v>Обложка</v>
      </c>
      <c r="V61" s="28" t="str">
        <f>HYPERLINK("https://znanium.com/catalog/product/1911445", "Ознакомиться")</f>
        <v>Ознакомиться</v>
      </c>
      <c r="W61" s="8" t="s">
        <v>98</v>
      </c>
      <c r="X61" s="6" t="s">
        <v>407</v>
      </c>
      <c r="Y61" s="6"/>
      <c r="Z61" s="6"/>
      <c r="AA61" s="6" t="s">
        <v>408</v>
      </c>
    </row>
    <row r="62" spans="1:27" s="4" customFormat="1" ht="42" customHeight="1">
      <c r="A62" s="5">
        <v>0</v>
      </c>
      <c r="B62" s="6" t="s">
        <v>409</v>
      </c>
      <c r="C62" s="13">
        <v>1180</v>
      </c>
      <c r="D62" s="8" t="s">
        <v>410</v>
      </c>
      <c r="E62" s="8" t="s">
        <v>411</v>
      </c>
      <c r="F62" s="8" t="s">
        <v>412</v>
      </c>
      <c r="G62" s="6" t="s">
        <v>51</v>
      </c>
      <c r="H62" s="6" t="s">
        <v>84</v>
      </c>
      <c r="I62" s="8" t="s">
        <v>251</v>
      </c>
      <c r="J62" s="9">
        <v>1</v>
      </c>
      <c r="K62" s="9">
        <v>263</v>
      </c>
      <c r="L62" s="9">
        <v>2023</v>
      </c>
      <c r="M62" s="8" t="s">
        <v>413</v>
      </c>
      <c r="N62" s="8" t="s">
        <v>40</v>
      </c>
      <c r="O62" s="8" t="s">
        <v>41</v>
      </c>
      <c r="P62" s="6" t="s">
        <v>42</v>
      </c>
      <c r="Q62" s="8" t="s">
        <v>43</v>
      </c>
      <c r="R62" s="10" t="s">
        <v>304</v>
      </c>
      <c r="S62" s="11"/>
      <c r="T62" s="6"/>
      <c r="U62" s="28" t="str">
        <f>HYPERLINK("https://media.infra-m.ru/1937/1937943/cover/1937943.jpg", "Обложка")</f>
        <v>Обложка</v>
      </c>
      <c r="V62" s="28" t="str">
        <f>HYPERLINK("https://znanium.com/catalog/product/1937943", "Ознакомиться")</f>
        <v>Ознакомиться</v>
      </c>
      <c r="W62" s="8" t="s">
        <v>414</v>
      </c>
      <c r="X62" s="6"/>
      <c r="Y62" s="6"/>
      <c r="Z62" s="6"/>
      <c r="AA62" s="6" t="s">
        <v>415</v>
      </c>
    </row>
    <row r="63" spans="1:27" s="4" customFormat="1" ht="42" customHeight="1">
      <c r="A63" s="5">
        <v>0</v>
      </c>
      <c r="B63" s="6" t="s">
        <v>416</v>
      </c>
      <c r="C63" s="7">
        <v>550</v>
      </c>
      <c r="D63" s="8" t="s">
        <v>417</v>
      </c>
      <c r="E63" s="8" t="s">
        <v>418</v>
      </c>
      <c r="F63" s="8" t="s">
        <v>419</v>
      </c>
      <c r="G63" s="6" t="s">
        <v>51</v>
      </c>
      <c r="H63" s="6" t="s">
        <v>84</v>
      </c>
      <c r="I63" s="8" t="s">
        <v>251</v>
      </c>
      <c r="J63" s="9">
        <v>1</v>
      </c>
      <c r="K63" s="9">
        <v>123</v>
      </c>
      <c r="L63" s="9">
        <v>2023</v>
      </c>
      <c r="M63" s="8" t="s">
        <v>420</v>
      </c>
      <c r="N63" s="8" t="s">
        <v>40</v>
      </c>
      <c r="O63" s="8" t="s">
        <v>41</v>
      </c>
      <c r="P63" s="6" t="s">
        <v>42</v>
      </c>
      <c r="Q63" s="8" t="s">
        <v>43</v>
      </c>
      <c r="R63" s="10" t="s">
        <v>310</v>
      </c>
      <c r="S63" s="11"/>
      <c r="T63" s="6"/>
      <c r="U63" s="28" t="str">
        <f>HYPERLINK("https://media.infra-m.ru/1937/1937945/cover/1937945.jpg", "Обложка")</f>
        <v>Обложка</v>
      </c>
      <c r="V63" s="28" t="str">
        <f>HYPERLINK("https://znanium.com/catalog/product/1937945", "Ознакомиться")</f>
        <v>Ознакомиться</v>
      </c>
      <c r="W63" s="8" t="s">
        <v>421</v>
      </c>
      <c r="X63" s="6"/>
      <c r="Y63" s="6"/>
      <c r="Z63" s="6"/>
      <c r="AA63" s="6" t="s">
        <v>422</v>
      </c>
    </row>
    <row r="64" spans="1:27" s="4" customFormat="1" ht="42" customHeight="1">
      <c r="A64" s="5">
        <v>0</v>
      </c>
      <c r="B64" s="6" t="s">
        <v>423</v>
      </c>
      <c r="C64" s="7">
        <v>884</v>
      </c>
      <c r="D64" s="8" t="s">
        <v>424</v>
      </c>
      <c r="E64" s="8" t="s">
        <v>425</v>
      </c>
      <c r="F64" s="8" t="s">
        <v>426</v>
      </c>
      <c r="G64" s="6" t="s">
        <v>58</v>
      </c>
      <c r="H64" s="6" t="s">
        <v>427</v>
      </c>
      <c r="I64" s="8" t="s">
        <v>428</v>
      </c>
      <c r="J64" s="9">
        <v>1</v>
      </c>
      <c r="K64" s="9">
        <v>192</v>
      </c>
      <c r="L64" s="9">
        <v>2024</v>
      </c>
      <c r="M64" s="8" t="s">
        <v>429</v>
      </c>
      <c r="N64" s="8" t="s">
        <v>40</v>
      </c>
      <c r="O64" s="8" t="s">
        <v>41</v>
      </c>
      <c r="P64" s="6" t="s">
        <v>42</v>
      </c>
      <c r="Q64" s="8" t="s">
        <v>43</v>
      </c>
      <c r="R64" s="10" t="s">
        <v>340</v>
      </c>
      <c r="S64" s="11"/>
      <c r="T64" s="6"/>
      <c r="U64" s="28" t="str">
        <f>HYPERLINK("https://media.infra-m.ru/2088/2088245/cover/2088245.jpg", "Обложка")</f>
        <v>Обложка</v>
      </c>
      <c r="V64" s="12"/>
      <c r="W64" s="8" t="s">
        <v>430</v>
      </c>
      <c r="X64" s="6"/>
      <c r="Y64" s="6"/>
      <c r="Z64" s="6"/>
      <c r="AA64" s="6" t="s">
        <v>298</v>
      </c>
    </row>
    <row r="65" spans="1:27" s="4" customFormat="1" ht="42" customHeight="1">
      <c r="A65" s="5">
        <v>0</v>
      </c>
      <c r="B65" s="6" t="s">
        <v>431</v>
      </c>
      <c r="C65" s="13">
        <v>1394</v>
      </c>
      <c r="D65" s="8" t="s">
        <v>432</v>
      </c>
      <c r="E65" s="8" t="s">
        <v>433</v>
      </c>
      <c r="F65" s="8" t="s">
        <v>434</v>
      </c>
      <c r="G65" s="6" t="s">
        <v>51</v>
      </c>
      <c r="H65" s="6" t="s">
        <v>38</v>
      </c>
      <c r="I65" s="8"/>
      <c r="J65" s="9">
        <v>1</v>
      </c>
      <c r="K65" s="9">
        <v>304</v>
      </c>
      <c r="L65" s="9">
        <v>2024</v>
      </c>
      <c r="M65" s="8" t="s">
        <v>435</v>
      </c>
      <c r="N65" s="8" t="s">
        <v>40</v>
      </c>
      <c r="O65" s="8" t="s">
        <v>41</v>
      </c>
      <c r="P65" s="6" t="s">
        <v>141</v>
      </c>
      <c r="Q65" s="8" t="s">
        <v>76</v>
      </c>
      <c r="R65" s="10" t="s">
        <v>436</v>
      </c>
      <c r="S65" s="11"/>
      <c r="T65" s="6"/>
      <c r="U65" s="28" t="str">
        <f>HYPERLINK("https://media.infra-m.ru/2102/2102181/cover/2102181.jpg", "Обложка")</f>
        <v>Обложка</v>
      </c>
      <c r="V65" s="28" t="str">
        <f>HYPERLINK("https://znanium.com/catalog/product/1859036", "Ознакомиться")</f>
        <v>Ознакомиться</v>
      </c>
      <c r="W65" s="8" t="s">
        <v>242</v>
      </c>
      <c r="X65" s="6"/>
      <c r="Y65" s="6"/>
      <c r="Z65" s="6"/>
      <c r="AA65" s="6" t="s">
        <v>289</v>
      </c>
    </row>
    <row r="66" spans="1:27" s="4" customFormat="1" ht="42" customHeight="1">
      <c r="A66" s="5">
        <v>0</v>
      </c>
      <c r="B66" s="6" t="s">
        <v>437</v>
      </c>
      <c r="C66" s="13">
        <v>1370</v>
      </c>
      <c r="D66" s="8" t="s">
        <v>438</v>
      </c>
      <c r="E66" s="8" t="s">
        <v>439</v>
      </c>
      <c r="F66" s="8" t="s">
        <v>440</v>
      </c>
      <c r="G66" s="6" t="s">
        <v>37</v>
      </c>
      <c r="H66" s="6" t="s">
        <v>84</v>
      </c>
      <c r="I66" s="8" t="s">
        <v>85</v>
      </c>
      <c r="J66" s="9">
        <v>1</v>
      </c>
      <c r="K66" s="9">
        <v>304</v>
      </c>
      <c r="L66" s="9">
        <v>2023</v>
      </c>
      <c r="M66" s="8" t="s">
        <v>441</v>
      </c>
      <c r="N66" s="8" t="s">
        <v>40</v>
      </c>
      <c r="O66" s="8" t="s">
        <v>41</v>
      </c>
      <c r="P66" s="6" t="s">
        <v>42</v>
      </c>
      <c r="Q66" s="8" t="s">
        <v>43</v>
      </c>
      <c r="R66" s="10" t="s">
        <v>442</v>
      </c>
      <c r="S66" s="11"/>
      <c r="T66" s="6"/>
      <c r="U66" s="28" t="str">
        <f>HYPERLINK("https://media.infra-m.ru/1912/1912994/cover/1912994.jpg", "Обложка")</f>
        <v>Обложка</v>
      </c>
      <c r="V66" s="28" t="str">
        <f>HYPERLINK("https://znanium.com/catalog/product/1912994", "Ознакомиться")</f>
        <v>Ознакомиться</v>
      </c>
      <c r="W66" s="8"/>
      <c r="X66" s="6"/>
      <c r="Y66" s="6"/>
      <c r="Z66" s="6"/>
      <c r="AA66" s="6" t="s">
        <v>298</v>
      </c>
    </row>
    <row r="67" spans="1:27" s="4" customFormat="1" ht="42" customHeight="1">
      <c r="A67" s="5">
        <v>0</v>
      </c>
      <c r="B67" s="6" t="s">
        <v>443</v>
      </c>
      <c r="C67" s="7">
        <v>954</v>
      </c>
      <c r="D67" s="8" t="s">
        <v>444</v>
      </c>
      <c r="E67" s="8" t="s">
        <v>445</v>
      </c>
      <c r="F67" s="8" t="s">
        <v>446</v>
      </c>
      <c r="G67" s="6" t="s">
        <v>37</v>
      </c>
      <c r="H67" s="6" t="s">
        <v>38</v>
      </c>
      <c r="I67" s="8"/>
      <c r="J67" s="9">
        <v>1</v>
      </c>
      <c r="K67" s="9">
        <v>208</v>
      </c>
      <c r="L67" s="9">
        <v>2024</v>
      </c>
      <c r="M67" s="8" t="s">
        <v>447</v>
      </c>
      <c r="N67" s="8" t="s">
        <v>40</v>
      </c>
      <c r="O67" s="8" t="s">
        <v>41</v>
      </c>
      <c r="P67" s="6" t="s">
        <v>42</v>
      </c>
      <c r="Q67" s="8" t="s">
        <v>43</v>
      </c>
      <c r="R67" s="10" t="s">
        <v>436</v>
      </c>
      <c r="S67" s="11"/>
      <c r="T67" s="6"/>
      <c r="U67" s="28" t="str">
        <f>HYPERLINK("https://media.infra-m.ru/2091/2091901/cover/2091901.jpg", "Обложка")</f>
        <v>Обложка</v>
      </c>
      <c r="V67" s="28" t="str">
        <f>HYPERLINK("https://znanium.com/catalog/product/1876623", "Ознакомиться")</f>
        <v>Ознакомиться</v>
      </c>
      <c r="W67" s="8" t="s">
        <v>114</v>
      </c>
      <c r="X67" s="6"/>
      <c r="Y67" s="6"/>
      <c r="Z67" s="6"/>
      <c r="AA67" s="6" t="s">
        <v>88</v>
      </c>
    </row>
    <row r="68" spans="1:27" s="4" customFormat="1" ht="51.95" customHeight="1">
      <c r="A68" s="5">
        <v>0</v>
      </c>
      <c r="B68" s="6" t="s">
        <v>448</v>
      </c>
      <c r="C68" s="13">
        <v>1050</v>
      </c>
      <c r="D68" s="8" t="s">
        <v>449</v>
      </c>
      <c r="E68" s="8" t="s">
        <v>450</v>
      </c>
      <c r="F68" s="8"/>
      <c r="G68" s="6" t="s">
        <v>37</v>
      </c>
      <c r="H68" s="6" t="s">
        <v>84</v>
      </c>
      <c r="I68" s="8" t="s">
        <v>85</v>
      </c>
      <c r="J68" s="9">
        <v>1</v>
      </c>
      <c r="K68" s="9">
        <v>248</v>
      </c>
      <c r="L68" s="9">
        <v>2022</v>
      </c>
      <c r="M68" s="8" t="s">
        <v>451</v>
      </c>
      <c r="N68" s="8" t="s">
        <v>40</v>
      </c>
      <c r="O68" s="8" t="s">
        <v>41</v>
      </c>
      <c r="P68" s="6" t="s">
        <v>42</v>
      </c>
      <c r="Q68" s="8" t="s">
        <v>43</v>
      </c>
      <c r="R68" s="10" t="s">
        <v>452</v>
      </c>
      <c r="S68" s="11"/>
      <c r="T68" s="6"/>
      <c r="U68" s="28" t="str">
        <f>HYPERLINK("https://media.infra-m.ru/1877/1877127/cover/1877127.jpg", "Обложка")</f>
        <v>Обложка</v>
      </c>
      <c r="V68" s="28" t="str">
        <f>HYPERLINK("https://znanium.com/catalog/product/1877127", "Ознакомиться")</f>
        <v>Ознакомиться</v>
      </c>
      <c r="W68" s="8" t="s">
        <v>45</v>
      </c>
      <c r="X68" s="6"/>
      <c r="Y68" s="6"/>
      <c r="Z68" s="6"/>
      <c r="AA68" s="6" t="s">
        <v>88</v>
      </c>
    </row>
    <row r="69" spans="1:27" s="4" customFormat="1" ht="42" customHeight="1">
      <c r="A69" s="5">
        <v>0</v>
      </c>
      <c r="B69" s="6" t="s">
        <v>453</v>
      </c>
      <c r="C69" s="7">
        <v>650</v>
      </c>
      <c r="D69" s="8" t="s">
        <v>454</v>
      </c>
      <c r="E69" s="8" t="s">
        <v>455</v>
      </c>
      <c r="F69" s="8" t="s">
        <v>456</v>
      </c>
      <c r="G69" s="6" t="s">
        <v>51</v>
      </c>
      <c r="H69" s="6" t="s">
        <v>52</v>
      </c>
      <c r="I69" s="8" t="s">
        <v>251</v>
      </c>
      <c r="J69" s="9">
        <v>1</v>
      </c>
      <c r="K69" s="9">
        <v>184</v>
      </c>
      <c r="L69" s="9">
        <v>2020</v>
      </c>
      <c r="M69" s="8" t="s">
        <v>457</v>
      </c>
      <c r="N69" s="8" t="s">
        <v>40</v>
      </c>
      <c r="O69" s="8" t="s">
        <v>41</v>
      </c>
      <c r="P69" s="6" t="s">
        <v>42</v>
      </c>
      <c r="Q69" s="8" t="s">
        <v>43</v>
      </c>
      <c r="R69" s="10" t="s">
        <v>69</v>
      </c>
      <c r="S69" s="11"/>
      <c r="T69" s="6"/>
      <c r="U69" s="28" t="str">
        <f>HYPERLINK("https://media.infra-m.ru/1078/1078355/cover/1078355.jpg", "Обложка")</f>
        <v>Обложка</v>
      </c>
      <c r="V69" s="12"/>
      <c r="W69" s="8" t="s">
        <v>458</v>
      </c>
      <c r="X69" s="6"/>
      <c r="Y69" s="6"/>
      <c r="Z69" s="6"/>
      <c r="AA69" s="6" t="s">
        <v>79</v>
      </c>
    </row>
    <row r="70" spans="1:27" s="4" customFormat="1" ht="51.95" customHeight="1">
      <c r="A70" s="5">
        <v>0</v>
      </c>
      <c r="B70" s="6" t="s">
        <v>459</v>
      </c>
      <c r="C70" s="7">
        <v>850</v>
      </c>
      <c r="D70" s="8" t="s">
        <v>460</v>
      </c>
      <c r="E70" s="8" t="s">
        <v>461</v>
      </c>
      <c r="F70" s="8" t="s">
        <v>462</v>
      </c>
      <c r="G70" s="6" t="s">
        <v>58</v>
      </c>
      <c r="H70" s="6" t="s">
        <v>84</v>
      </c>
      <c r="I70" s="8" t="s">
        <v>251</v>
      </c>
      <c r="J70" s="9">
        <v>1</v>
      </c>
      <c r="K70" s="9">
        <v>187</v>
      </c>
      <c r="L70" s="9">
        <v>2023</v>
      </c>
      <c r="M70" s="8" t="s">
        <v>463</v>
      </c>
      <c r="N70" s="8" t="s">
        <v>40</v>
      </c>
      <c r="O70" s="8" t="s">
        <v>41</v>
      </c>
      <c r="P70" s="6" t="s">
        <v>42</v>
      </c>
      <c r="Q70" s="8" t="s">
        <v>43</v>
      </c>
      <c r="R70" s="10" t="s">
        <v>464</v>
      </c>
      <c r="S70" s="11"/>
      <c r="T70" s="6"/>
      <c r="U70" s="28" t="str">
        <f>HYPERLINK("https://media.infra-m.ru/1903/1903335/cover/1903335.jpg", "Обложка")</f>
        <v>Обложка</v>
      </c>
      <c r="V70" s="28" t="str">
        <f>HYPERLINK("https://znanium.com/catalog/product/1903335", "Ознакомиться")</f>
        <v>Ознакомиться</v>
      </c>
      <c r="W70" s="8" t="s">
        <v>465</v>
      </c>
      <c r="X70" s="6" t="s">
        <v>466</v>
      </c>
      <c r="Y70" s="6"/>
      <c r="Z70" s="6"/>
      <c r="AA70" s="6" t="s">
        <v>137</v>
      </c>
    </row>
    <row r="71" spans="1:27" s="4" customFormat="1" ht="51.95" customHeight="1">
      <c r="A71" s="5">
        <v>0</v>
      </c>
      <c r="B71" s="6" t="s">
        <v>467</v>
      </c>
      <c r="C71" s="7">
        <v>790</v>
      </c>
      <c r="D71" s="8" t="s">
        <v>468</v>
      </c>
      <c r="E71" s="8" t="s">
        <v>469</v>
      </c>
      <c r="F71" s="8" t="s">
        <v>470</v>
      </c>
      <c r="G71" s="6" t="s">
        <v>51</v>
      </c>
      <c r="H71" s="6" t="s">
        <v>84</v>
      </c>
      <c r="I71" s="8" t="s">
        <v>471</v>
      </c>
      <c r="J71" s="9">
        <v>1</v>
      </c>
      <c r="K71" s="9">
        <v>167</v>
      </c>
      <c r="L71" s="9">
        <v>2023</v>
      </c>
      <c r="M71" s="8" t="s">
        <v>472</v>
      </c>
      <c r="N71" s="8" t="s">
        <v>40</v>
      </c>
      <c r="O71" s="8" t="s">
        <v>41</v>
      </c>
      <c r="P71" s="6" t="s">
        <v>42</v>
      </c>
      <c r="Q71" s="8" t="s">
        <v>43</v>
      </c>
      <c r="R71" s="10" t="s">
        <v>473</v>
      </c>
      <c r="S71" s="11"/>
      <c r="T71" s="6"/>
      <c r="U71" s="28" t="str">
        <f>HYPERLINK("https://media.infra-m.ru/1913/1913533/cover/1913533.jpg", "Обложка")</f>
        <v>Обложка</v>
      </c>
      <c r="V71" s="28" t="str">
        <f>HYPERLINK("https://znanium.com/catalog/product/1913533", "Ознакомиться")</f>
        <v>Ознакомиться</v>
      </c>
      <c r="W71" s="8" t="s">
        <v>474</v>
      </c>
      <c r="X71" s="6" t="s">
        <v>475</v>
      </c>
      <c r="Y71" s="6"/>
      <c r="Z71" s="6"/>
      <c r="AA71" s="6" t="s">
        <v>408</v>
      </c>
    </row>
    <row r="72" spans="1:27" s="4" customFormat="1" ht="42" customHeight="1">
      <c r="A72" s="5">
        <v>0</v>
      </c>
      <c r="B72" s="6" t="s">
        <v>476</v>
      </c>
      <c r="C72" s="13">
        <v>1680</v>
      </c>
      <c r="D72" s="8" t="s">
        <v>477</v>
      </c>
      <c r="E72" s="8" t="s">
        <v>478</v>
      </c>
      <c r="F72" s="8" t="s">
        <v>479</v>
      </c>
      <c r="G72" s="6" t="s">
        <v>37</v>
      </c>
      <c r="H72" s="6" t="s">
        <v>84</v>
      </c>
      <c r="I72" s="8" t="s">
        <v>251</v>
      </c>
      <c r="J72" s="9">
        <v>1</v>
      </c>
      <c r="K72" s="9">
        <v>365</v>
      </c>
      <c r="L72" s="9">
        <v>2024</v>
      </c>
      <c r="M72" s="8" t="s">
        <v>480</v>
      </c>
      <c r="N72" s="8" t="s">
        <v>40</v>
      </c>
      <c r="O72" s="8" t="s">
        <v>41</v>
      </c>
      <c r="P72" s="6" t="s">
        <v>42</v>
      </c>
      <c r="Q72" s="8" t="s">
        <v>43</v>
      </c>
      <c r="R72" s="10" t="s">
        <v>69</v>
      </c>
      <c r="S72" s="11"/>
      <c r="T72" s="6"/>
      <c r="U72" s="28" t="str">
        <f>HYPERLINK("https://media.infra-m.ru/2105/2105794/cover/2105794.jpg", "Обложка")</f>
        <v>Обложка</v>
      </c>
      <c r="V72" s="28" t="str">
        <f>HYPERLINK("https://znanium.com/catalog/product/2105794", "Ознакомиться")</f>
        <v>Ознакомиться</v>
      </c>
      <c r="W72" s="8"/>
      <c r="X72" s="6"/>
      <c r="Y72" s="6"/>
      <c r="Z72" s="6"/>
      <c r="AA72" s="6" t="s">
        <v>62</v>
      </c>
    </row>
    <row r="73" spans="1:27" s="4" customFormat="1" ht="42" customHeight="1">
      <c r="A73" s="5">
        <v>0</v>
      </c>
      <c r="B73" s="6" t="s">
        <v>481</v>
      </c>
      <c r="C73" s="7">
        <v>590</v>
      </c>
      <c r="D73" s="8" t="s">
        <v>482</v>
      </c>
      <c r="E73" s="8" t="s">
        <v>483</v>
      </c>
      <c r="F73" s="8" t="s">
        <v>484</v>
      </c>
      <c r="G73" s="6" t="s">
        <v>51</v>
      </c>
      <c r="H73" s="6" t="s">
        <v>52</v>
      </c>
      <c r="I73" s="8" t="s">
        <v>251</v>
      </c>
      <c r="J73" s="9">
        <v>1</v>
      </c>
      <c r="K73" s="9">
        <v>138</v>
      </c>
      <c r="L73" s="9">
        <v>2022</v>
      </c>
      <c r="M73" s="8" t="s">
        <v>485</v>
      </c>
      <c r="N73" s="8" t="s">
        <v>40</v>
      </c>
      <c r="O73" s="8" t="s">
        <v>41</v>
      </c>
      <c r="P73" s="6" t="s">
        <v>42</v>
      </c>
      <c r="Q73" s="8" t="s">
        <v>43</v>
      </c>
      <c r="R73" s="10" t="s">
        <v>310</v>
      </c>
      <c r="S73" s="11"/>
      <c r="T73" s="6"/>
      <c r="U73" s="28" t="str">
        <f>HYPERLINK("https://media.infra-m.ru/1850/1850629/cover/1850629.jpg", "Обложка")</f>
        <v>Обложка</v>
      </c>
      <c r="V73" s="28" t="str">
        <f>HYPERLINK("https://znanium.com/catalog/product/1850629", "Ознакомиться")</f>
        <v>Ознакомиться</v>
      </c>
      <c r="W73" s="8" t="s">
        <v>414</v>
      </c>
      <c r="X73" s="6"/>
      <c r="Y73" s="6"/>
      <c r="Z73" s="6"/>
      <c r="AA73" s="6" t="s">
        <v>215</v>
      </c>
    </row>
    <row r="74" spans="1:27" s="4" customFormat="1" ht="42" customHeight="1">
      <c r="A74" s="5">
        <v>0</v>
      </c>
      <c r="B74" s="6" t="s">
        <v>486</v>
      </c>
      <c r="C74" s="7">
        <v>720</v>
      </c>
      <c r="D74" s="8" t="s">
        <v>487</v>
      </c>
      <c r="E74" s="8" t="s">
        <v>488</v>
      </c>
      <c r="F74" s="8" t="s">
        <v>489</v>
      </c>
      <c r="G74" s="6" t="s">
        <v>51</v>
      </c>
      <c r="H74" s="6" t="s">
        <v>38</v>
      </c>
      <c r="I74" s="8"/>
      <c r="J74" s="9">
        <v>1</v>
      </c>
      <c r="K74" s="9">
        <v>160</v>
      </c>
      <c r="L74" s="9">
        <v>2023</v>
      </c>
      <c r="M74" s="8" t="s">
        <v>490</v>
      </c>
      <c r="N74" s="8" t="s">
        <v>40</v>
      </c>
      <c r="O74" s="8" t="s">
        <v>41</v>
      </c>
      <c r="P74" s="6" t="s">
        <v>42</v>
      </c>
      <c r="Q74" s="8" t="s">
        <v>43</v>
      </c>
      <c r="R74" s="10" t="s">
        <v>304</v>
      </c>
      <c r="S74" s="11"/>
      <c r="T74" s="6"/>
      <c r="U74" s="28" t="str">
        <f>HYPERLINK("https://media.infra-m.ru/1979/1979123/cover/1979123.jpg", "Обложка")</f>
        <v>Обложка</v>
      </c>
      <c r="V74" s="28" t="str">
        <f>HYPERLINK("https://znanium.com/catalog/product/1979123", "Ознакомиться")</f>
        <v>Ознакомиться</v>
      </c>
      <c r="W74" s="8" t="s">
        <v>114</v>
      </c>
      <c r="X74" s="6"/>
      <c r="Y74" s="6"/>
      <c r="Z74" s="6"/>
      <c r="AA74" s="6" t="s">
        <v>422</v>
      </c>
    </row>
    <row r="75" spans="1:27" s="4" customFormat="1" ht="51.95" customHeight="1">
      <c r="A75" s="5">
        <v>0</v>
      </c>
      <c r="B75" s="6" t="s">
        <v>491</v>
      </c>
      <c r="C75" s="13">
        <v>1370</v>
      </c>
      <c r="D75" s="8" t="s">
        <v>492</v>
      </c>
      <c r="E75" s="8" t="s">
        <v>493</v>
      </c>
      <c r="F75" s="8" t="s">
        <v>494</v>
      </c>
      <c r="G75" s="6" t="s">
        <v>37</v>
      </c>
      <c r="H75" s="6" t="s">
        <v>84</v>
      </c>
      <c r="I75" s="8" t="s">
        <v>85</v>
      </c>
      <c r="J75" s="9">
        <v>1</v>
      </c>
      <c r="K75" s="9">
        <v>296</v>
      </c>
      <c r="L75" s="9">
        <v>2024</v>
      </c>
      <c r="M75" s="8" t="s">
        <v>495</v>
      </c>
      <c r="N75" s="8" t="s">
        <v>40</v>
      </c>
      <c r="O75" s="8" t="s">
        <v>41</v>
      </c>
      <c r="P75" s="6" t="s">
        <v>42</v>
      </c>
      <c r="Q75" s="8" t="s">
        <v>43</v>
      </c>
      <c r="R75" s="10" t="s">
        <v>496</v>
      </c>
      <c r="S75" s="11"/>
      <c r="T75" s="6"/>
      <c r="U75" s="28" t="str">
        <f>HYPERLINK("https://media.infra-m.ru/2122/2122502/cover/2122502.jpg", "Обложка")</f>
        <v>Обложка</v>
      </c>
      <c r="V75" s="28" t="str">
        <f>HYPERLINK("https://znanium.com/catalog/product/2122502", "Ознакомиться")</f>
        <v>Ознакомиться</v>
      </c>
      <c r="W75" s="8" t="s">
        <v>45</v>
      </c>
      <c r="X75" s="6"/>
      <c r="Y75" s="6"/>
      <c r="Z75" s="6"/>
      <c r="AA75" s="6" t="s">
        <v>88</v>
      </c>
    </row>
    <row r="76" spans="1:27" s="4" customFormat="1" ht="44.1" customHeight="1">
      <c r="A76" s="5">
        <v>0</v>
      </c>
      <c r="B76" s="6" t="s">
        <v>497</v>
      </c>
      <c r="C76" s="7">
        <v>760</v>
      </c>
      <c r="D76" s="8" t="s">
        <v>498</v>
      </c>
      <c r="E76" s="8" t="s">
        <v>499</v>
      </c>
      <c r="F76" s="8" t="s">
        <v>500</v>
      </c>
      <c r="G76" s="6" t="s">
        <v>37</v>
      </c>
      <c r="H76" s="6" t="s">
        <v>84</v>
      </c>
      <c r="I76" s="8" t="s">
        <v>251</v>
      </c>
      <c r="J76" s="9">
        <v>1</v>
      </c>
      <c r="K76" s="9">
        <v>222</v>
      </c>
      <c r="L76" s="9">
        <v>2020</v>
      </c>
      <c r="M76" s="8" t="s">
        <v>501</v>
      </c>
      <c r="N76" s="8" t="s">
        <v>40</v>
      </c>
      <c r="O76" s="8" t="s">
        <v>41</v>
      </c>
      <c r="P76" s="6" t="s">
        <v>42</v>
      </c>
      <c r="Q76" s="8" t="s">
        <v>43</v>
      </c>
      <c r="R76" s="10" t="s">
        <v>502</v>
      </c>
      <c r="S76" s="11"/>
      <c r="T76" s="6"/>
      <c r="U76" s="28" t="str">
        <f>HYPERLINK("https://media.infra-m.ru/1039/1039311/cover/1039311.jpg", "Обложка")</f>
        <v>Обложка</v>
      </c>
      <c r="V76" s="28" t="str">
        <f>HYPERLINK("https://znanium.com/catalog/product/1039311", "Ознакомиться")</f>
        <v>Ознакомиться</v>
      </c>
      <c r="W76" s="8" t="s">
        <v>503</v>
      </c>
      <c r="X76" s="6"/>
      <c r="Y76" s="6"/>
      <c r="Z76" s="6"/>
      <c r="AA76" s="6" t="s">
        <v>46</v>
      </c>
    </row>
    <row r="77" spans="1:27" s="4" customFormat="1" ht="42" customHeight="1">
      <c r="A77" s="5">
        <v>0</v>
      </c>
      <c r="B77" s="6" t="s">
        <v>504</v>
      </c>
      <c r="C77" s="7">
        <v>754</v>
      </c>
      <c r="D77" s="8" t="s">
        <v>505</v>
      </c>
      <c r="E77" s="8" t="s">
        <v>506</v>
      </c>
      <c r="F77" s="8" t="s">
        <v>500</v>
      </c>
      <c r="G77" s="6" t="s">
        <v>37</v>
      </c>
      <c r="H77" s="6" t="s">
        <v>84</v>
      </c>
      <c r="I77" s="8" t="s">
        <v>251</v>
      </c>
      <c r="J77" s="9">
        <v>1</v>
      </c>
      <c r="K77" s="9">
        <v>166</v>
      </c>
      <c r="L77" s="9">
        <v>2023</v>
      </c>
      <c r="M77" s="8" t="s">
        <v>507</v>
      </c>
      <c r="N77" s="8" t="s">
        <v>40</v>
      </c>
      <c r="O77" s="8" t="s">
        <v>41</v>
      </c>
      <c r="P77" s="6" t="s">
        <v>42</v>
      </c>
      <c r="Q77" s="8" t="s">
        <v>43</v>
      </c>
      <c r="R77" s="10" t="s">
        <v>310</v>
      </c>
      <c r="S77" s="11"/>
      <c r="T77" s="6"/>
      <c r="U77" s="28" t="str">
        <f>HYPERLINK("https://media.infra-m.ru/2006/2006054/cover/2006054.jpg", "Обложка")</f>
        <v>Обложка</v>
      </c>
      <c r="V77" s="28" t="str">
        <f>HYPERLINK("https://znanium.com/catalog/product/989964", "Ознакомиться")</f>
        <v>Ознакомиться</v>
      </c>
      <c r="W77" s="8" t="s">
        <v>503</v>
      </c>
      <c r="X77" s="6"/>
      <c r="Y77" s="6"/>
      <c r="Z77" s="6"/>
      <c r="AA77" s="6" t="s">
        <v>148</v>
      </c>
    </row>
    <row r="78" spans="1:27" s="4" customFormat="1" ht="42" customHeight="1">
      <c r="A78" s="5">
        <v>0</v>
      </c>
      <c r="B78" s="6" t="s">
        <v>508</v>
      </c>
      <c r="C78" s="7">
        <v>810</v>
      </c>
      <c r="D78" s="8" t="s">
        <v>509</v>
      </c>
      <c r="E78" s="8" t="s">
        <v>510</v>
      </c>
      <c r="F78" s="8" t="s">
        <v>500</v>
      </c>
      <c r="G78" s="6" t="s">
        <v>37</v>
      </c>
      <c r="H78" s="6" t="s">
        <v>84</v>
      </c>
      <c r="I78" s="8" t="s">
        <v>251</v>
      </c>
      <c r="J78" s="9">
        <v>1</v>
      </c>
      <c r="K78" s="9">
        <v>239</v>
      </c>
      <c r="L78" s="9">
        <v>2019</v>
      </c>
      <c r="M78" s="8" t="s">
        <v>511</v>
      </c>
      <c r="N78" s="8" t="s">
        <v>40</v>
      </c>
      <c r="O78" s="8" t="s">
        <v>41</v>
      </c>
      <c r="P78" s="6" t="s">
        <v>42</v>
      </c>
      <c r="Q78" s="8" t="s">
        <v>43</v>
      </c>
      <c r="R78" s="10" t="s">
        <v>310</v>
      </c>
      <c r="S78" s="11"/>
      <c r="T78" s="6"/>
      <c r="U78" s="28" t="str">
        <f>HYPERLINK("https://media.infra-m.ru/0989/0989144/cover/989144.jpg", "Обложка")</f>
        <v>Обложка</v>
      </c>
      <c r="V78" s="28" t="str">
        <f>HYPERLINK("https://znanium.com/catalog/product/989144", "Ознакомиться")</f>
        <v>Ознакомиться</v>
      </c>
      <c r="W78" s="8" t="s">
        <v>503</v>
      </c>
      <c r="X78" s="6"/>
      <c r="Y78" s="6"/>
      <c r="Z78" s="6"/>
      <c r="AA78" s="6" t="s">
        <v>148</v>
      </c>
    </row>
    <row r="79" spans="1:27" s="4" customFormat="1" ht="51.95" customHeight="1">
      <c r="A79" s="5">
        <v>0</v>
      </c>
      <c r="B79" s="6" t="s">
        <v>512</v>
      </c>
      <c r="C79" s="13">
        <v>2164.9</v>
      </c>
      <c r="D79" s="8" t="s">
        <v>513</v>
      </c>
      <c r="E79" s="8" t="s">
        <v>514</v>
      </c>
      <c r="F79" s="8" t="s">
        <v>515</v>
      </c>
      <c r="G79" s="6" t="s">
        <v>58</v>
      </c>
      <c r="H79" s="6" t="s">
        <v>38</v>
      </c>
      <c r="I79" s="8"/>
      <c r="J79" s="9">
        <v>1</v>
      </c>
      <c r="K79" s="9">
        <v>480</v>
      </c>
      <c r="L79" s="9">
        <v>2023</v>
      </c>
      <c r="M79" s="8" t="s">
        <v>516</v>
      </c>
      <c r="N79" s="8" t="s">
        <v>40</v>
      </c>
      <c r="O79" s="8" t="s">
        <v>41</v>
      </c>
      <c r="P79" s="6" t="s">
        <v>95</v>
      </c>
      <c r="Q79" s="8" t="s">
        <v>76</v>
      </c>
      <c r="R79" s="10" t="s">
        <v>517</v>
      </c>
      <c r="S79" s="11"/>
      <c r="T79" s="6"/>
      <c r="U79" s="28" t="str">
        <f>HYPERLINK("https://media.infra-m.ru/1895/1895640/cover/1895640.jpg", "Обложка")</f>
        <v>Обложка</v>
      </c>
      <c r="V79" s="28" t="str">
        <f>HYPERLINK("https://znanium.com/catalog/product/1039048", "Ознакомиться")</f>
        <v>Ознакомиться</v>
      </c>
      <c r="W79" s="8" t="s">
        <v>45</v>
      </c>
      <c r="X79" s="6"/>
      <c r="Y79" s="6"/>
      <c r="Z79" s="6"/>
      <c r="AA79" s="6" t="s">
        <v>79</v>
      </c>
    </row>
    <row r="80" spans="1:27" s="4" customFormat="1" ht="51.95" customHeight="1">
      <c r="A80" s="5">
        <v>0</v>
      </c>
      <c r="B80" s="6" t="s">
        <v>518</v>
      </c>
      <c r="C80" s="13">
        <v>1150</v>
      </c>
      <c r="D80" s="8" t="s">
        <v>519</v>
      </c>
      <c r="E80" s="8" t="s">
        <v>520</v>
      </c>
      <c r="F80" s="8" t="s">
        <v>521</v>
      </c>
      <c r="G80" s="6" t="s">
        <v>51</v>
      </c>
      <c r="H80" s="6" t="s">
        <v>38</v>
      </c>
      <c r="I80" s="8"/>
      <c r="J80" s="9">
        <v>1</v>
      </c>
      <c r="K80" s="9">
        <v>400</v>
      </c>
      <c r="L80" s="9">
        <v>2019</v>
      </c>
      <c r="M80" s="8" t="s">
        <v>522</v>
      </c>
      <c r="N80" s="8" t="s">
        <v>40</v>
      </c>
      <c r="O80" s="8" t="s">
        <v>41</v>
      </c>
      <c r="P80" s="6" t="s">
        <v>523</v>
      </c>
      <c r="Q80" s="8" t="s">
        <v>76</v>
      </c>
      <c r="R80" s="10" t="s">
        <v>235</v>
      </c>
      <c r="S80" s="11"/>
      <c r="T80" s="6"/>
      <c r="U80" s="28" t="str">
        <f>HYPERLINK("https://media.infra-m.ru/0996/0996219/cover/996219.jpg", "Обложка")</f>
        <v>Обложка</v>
      </c>
      <c r="V80" s="28" t="str">
        <f>HYPERLINK("https://znanium.com/catalog/product/1993587", "Ознакомиться")</f>
        <v>Ознакомиться</v>
      </c>
      <c r="W80" s="8" t="s">
        <v>124</v>
      </c>
      <c r="X80" s="6"/>
      <c r="Y80" s="6"/>
      <c r="Z80" s="6"/>
      <c r="AA80" s="6" t="s">
        <v>524</v>
      </c>
    </row>
    <row r="81" spans="1:27" s="4" customFormat="1" ht="51.95" customHeight="1">
      <c r="A81" s="5">
        <v>0</v>
      </c>
      <c r="B81" s="6" t="s">
        <v>525</v>
      </c>
      <c r="C81" s="13">
        <v>1660</v>
      </c>
      <c r="D81" s="8" t="s">
        <v>526</v>
      </c>
      <c r="E81" s="8" t="s">
        <v>527</v>
      </c>
      <c r="F81" s="8" t="s">
        <v>528</v>
      </c>
      <c r="G81" s="6" t="s">
        <v>51</v>
      </c>
      <c r="H81" s="6" t="s">
        <v>38</v>
      </c>
      <c r="I81" s="8"/>
      <c r="J81" s="9">
        <v>1</v>
      </c>
      <c r="K81" s="9">
        <v>368</v>
      </c>
      <c r="L81" s="9">
        <v>2023</v>
      </c>
      <c r="M81" s="8" t="s">
        <v>529</v>
      </c>
      <c r="N81" s="8" t="s">
        <v>40</v>
      </c>
      <c r="O81" s="8" t="s">
        <v>41</v>
      </c>
      <c r="P81" s="6" t="s">
        <v>523</v>
      </c>
      <c r="Q81" s="8" t="s">
        <v>76</v>
      </c>
      <c r="R81" s="10" t="s">
        <v>235</v>
      </c>
      <c r="S81" s="11"/>
      <c r="T81" s="6"/>
      <c r="U81" s="28" t="str">
        <f>HYPERLINK("https://media.infra-m.ru/1993/1993587/cover/1993587.jpg", "Обложка")</f>
        <v>Обложка</v>
      </c>
      <c r="V81" s="28" t="str">
        <f>HYPERLINK("https://znanium.com/catalog/product/1993587", "Ознакомиться")</f>
        <v>Ознакомиться</v>
      </c>
      <c r="W81" s="8"/>
      <c r="X81" s="6"/>
      <c r="Y81" s="6"/>
      <c r="Z81" s="6"/>
      <c r="AA81" s="6" t="s">
        <v>209</v>
      </c>
    </row>
    <row r="82" spans="1:27" s="4" customFormat="1" ht="42" customHeight="1">
      <c r="A82" s="5">
        <v>0</v>
      </c>
      <c r="B82" s="6" t="s">
        <v>530</v>
      </c>
      <c r="C82" s="13">
        <v>1040</v>
      </c>
      <c r="D82" s="8" t="s">
        <v>531</v>
      </c>
      <c r="E82" s="8" t="s">
        <v>532</v>
      </c>
      <c r="F82" s="8" t="s">
        <v>533</v>
      </c>
      <c r="G82" s="6" t="s">
        <v>37</v>
      </c>
      <c r="H82" s="6" t="s">
        <v>38</v>
      </c>
      <c r="I82" s="8"/>
      <c r="J82" s="9">
        <v>1</v>
      </c>
      <c r="K82" s="9">
        <v>232</v>
      </c>
      <c r="L82" s="9">
        <v>2023</v>
      </c>
      <c r="M82" s="8" t="s">
        <v>534</v>
      </c>
      <c r="N82" s="8" t="s">
        <v>40</v>
      </c>
      <c r="O82" s="8" t="s">
        <v>41</v>
      </c>
      <c r="P82" s="6" t="s">
        <v>42</v>
      </c>
      <c r="Q82" s="8" t="s">
        <v>43</v>
      </c>
      <c r="R82" s="10" t="s">
        <v>69</v>
      </c>
      <c r="S82" s="11"/>
      <c r="T82" s="6"/>
      <c r="U82" s="28" t="str">
        <f>HYPERLINK("https://media.infra-m.ru/2041/2041722/cover/2041722.jpg", "Обложка")</f>
        <v>Обложка</v>
      </c>
      <c r="V82" s="28" t="str">
        <f>HYPERLINK("https://znanium.com/catalog/product/2041722", "Ознакомиться")</f>
        <v>Ознакомиться</v>
      </c>
      <c r="W82" s="8" t="s">
        <v>535</v>
      </c>
      <c r="X82" s="6"/>
      <c r="Y82" s="6"/>
      <c r="Z82" s="6"/>
      <c r="AA82" s="6" t="s">
        <v>115</v>
      </c>
    </row>
    <row r="83" spans="1:27" s="4" customFormat="1" ht="51.95" customHeight="1">
      <c r="A83" s="5">
        <v>0</v>
      </c>
      <c r="B83" s="6" t="s">
        <v>536</v>
      </c>
      <c r="C83" s="7">
        <v>619.9</v>
      </c>
      <c r="D83" s="8" t="s">
        <v>537</v>
      </c>
      <c r="E83" s="8" t="s">
        <v>538</v>
      </c>
      <c r="F83" s="8" t="s">
        <v>539</v>
      </c>
      <c r="G83" s="6" t="s">
        <v>58</v>
      </c>
      <c r="H83" s="6" t="s">
        <v>38</v>
      </c>
      <c r="I83" s="8"/>
      <c r="J83" s="9">
        <v>1</v>
      </c>
      <c r="K83" s="9">
        <v>176</v>
      </c>
      <c r="L83" s="9">
        <v>2018</v>
      </c>
      <c r="M83" s="8" t="s">
        <v>540</v>
      </c>
      <c r="N83" s="8" t="s">
        <v>40</v>
      </c>
      <c r="O83" s="8" t="s">
        <v>41</v>
      </c>
      <c r="P83" s="6" t="s">
        <v>75</v>
      </c>
      <c r="Q83" s="8" t="s">
        <v>157</v>
      </c>
      <c r="R83" s="10" t="s">
        <v>122</v>
      </c>
      <c r="S83" s="11"/>
      <c r="T83" s="6"/>
      <c r="U83" s="28" t="str">
        <f>HYPERLINK("https://media.infra-m.ru/0968/0968405/cover/968405.jpg", "Обложка")</f>
        <v>Обложка</v>
      </c>
      <c r="V83" s="28" t="str">
        <f>HYPERLINK("https://znanium.com/catalog/product/1693531", "Ознакомиться")</f>
        <v>Ознакомиться</v>
      </c>
      <c r="W83" s="8" t="s">
        <v>114</v>
      </c>
      <c r="X83" s="6"/>
      <c r="Y83" s="6"/>
      <c r="Z83" s="6"/>
      <c r="AA83" s="6" t="s">
        <v>46</v>
      </c>
    </row>
    <row r="84" spans="1:27" s="4" customFormat="1" ht="51.95" customHeight="1">
      <c r="A84" s="5">
        <v>0</v>
      </c>
      <c r="B84" s="6" t="s">
        <v>541</v>
      </c>
      <c r="C84" s="7">
        <v>884</v>
      </c>
      <c r="D84" s="8" t="s">
        <v>542</v>
      </c>
      <c r="E84" s="8" t="s">
        <v>543</v>
      </c>
      <c r="F84" s="8" t="s">
        <v>539</v>
      </c>
      <c r="G84" s="6" t="s">
        <v>37</v>
      </c>
      <c r="H84" s="6" t="s">
        <v>38</v>
      </c>
      <c r="I84" s="8"/>
      <c r="J84" s="9">
        <v>1</v>
      </c>
      <c r="K84" s="9">
        <v>192</v>
      </c>
      <c r="L84" s="9">
        <v>2024</v>
      </c>
      <c r="M84" s="8" t="s">
        <v>544</v>
      </c>
      <c r="N84" s="8" t="s">
        <v>40</v>
      </c>
      <c r="O84" s="8" t="s">
        <v>41</v>
      </c>
      <c r="P84" s="6" t="s">
        <v>75</v>
      </c>
      <c r="Q84" s="8" t="s">
        <v>157</v>
      </c>
      <c r="R84" s="10" t="s">
        <v>122</v>
      </c>
      <c r="S84" s="11"/>
      <c r="T84" s="6"/>
      <c r="U84" s="28" t="str">
        <f>HYPERLINK("https://media.infra-m.ru/2093/2093914/cover/2093914.jpg", "Обложка")</f>
        <v>Обложка</v>
      </c>
      <c r="V84" s="28" t="str">
        <f>HYPERLINK("https://znanium.com/catalog/product/1693531", "Ознакомиться")</f>
        <v>Ознакомиться</v>
      </c>
      <c r="W84" s="8" t="s">
        <v>114</v>
      </c>
      <c r="X84" s="6"/>
      <c r="Y84" s="6"/>
      <c r="Z84" s="6"/>
      <c r="AA84" s="6" t="s">
        <v>143</v>
      </c>
    </row>
    <row r="85" spans="1:27" s="4" customFormat="1" ht="42" customHeight="1">
      <c r="A85" s="5">
        <v>0</v>
      </c>
      <c r="B85" s="6" t="s">
        <v>545</v>
      </c>
      <c r="C85" s="13">
        <v>1180</v>
      </c>
      <c r="D85" s="8" t="s">
        <v>546</v>
      </c>
      <c r="E85" s="8" t="s">
        <v>547</v>
      </c>
      <c r="F85" s="8" t="s">
        <v>446</v>
      </c>
      <c r="G85" s="6" t="s">
        <v>58</v>
      </c>
      <c r="H85" s="6" t="s">
        <v>38</v>
      </c>
      <c r="I85" s="8" t="s">
        <v>93</v>
      </c>
      <c r="J85" s="9">
        <v>1</v>
      </c>
      <c r="K85" s="9">
        <v>368</v>
      </c>
      <c r="L85" s="9">
        <v>2018</v>
      </c>
      <c r="M85" s="8" t="s">
        <v>548</v>
      </c>
      <c r="N85" s="8" t="s">
        <v>40</v>
      </c>
      <c r="O85" s="8" t="s">
        <v>41</v>
      </c>
      <c r="P85" s="6" t="s">
        <v>95</v>
      </c>
      <c r="Q85" s="8" t="s">
        <v>96</v>
      </c>
      <c r="R85" s="10" t="s">
        <v>549</v>
      </c>
      <c r="S85" s="11"/>
      <c r="T85" s="6"/>
      <c r="U85" s="28" t="str">
        <f>HYPERLINK("https://media.infra-m.ru/0988/0988551/cover/988551.jpg", "Обложка")</f>
        <v>Обложка</v>
      </c>
      <c r="V85" s="28" t="str">
        <f>HYPERLINK("https://znanium.com/catalog/product/1927297", "Ознакомиться")</f>
        <v>Ознакомиться</v>
      </c>
      <c r="W85" s="8" t="s">
        <v>114</v>
      </c>
      <c r="X85" s="6"/>
      <c r="Y85" s="6"/>
      <c r="Z85" s="6" t="s">
        <v>136</v>
      </c>
      <c r="AA85" s="6" t="s">
        <v>46</v>
      </c>
    </row>
    <row r="86" spans="1:27" s="4" customFormat="1" ht="42" customHeight="1">
      <c r="A86" s="5">
        <v>0</v>
      </c>
      <c r="B86" s="6" t="s">
        <v>550</v>
      </c>
      <c r="C86" s="13">
        <v>1510</v>
      </c>
      <c r="D86" s="8" t="s">
        <v>551</v>
      </c>
      <c r="E86" s="8" t="s">
        <v>552</v>
      </c>
      <c r="F86" s="8" t="s">
        <v>446</v>
      </c>
      <c r="G86" s="6" t="s">
        <v>37</v>
      </c>
      <c r="H86" s="6" t="s">
        <v>38</v>
      </c>
      <c r="I86" s="8" t="s">
        <v>93</v>
      </c>
      <c r="J86" s="9">
        <v>1</v>
      </c>
      <c r="K86" s="9">
        <v>336</v>
      </c>
      <c r="L86" s="9">
        <v>2023</v>
      </c>
      <c r="M86" s="8" t="s">
        <v>553</v>
      </c>
      <c r="N86" s="8" t="s">
        <v>40</v>
      </c>
      <c r="O86" s="8" t="s">
        <v>41</v>
      </c>
      <c r="P86" s="6" t="s">
        <v>95</v>
      </c>
      <c r="Q86" s="8" t="s">
        <v>96</v>
      </c>
      <c r="R86" s="10" t="s">
        <v>549</v>
      </c>
      <c r="S86" s="11"/>
      <c r="T86" s="6"/>
      <c r="U86" s="28" t="str">
        <f>HYPERLINK("https://media.infra-m.ru/1927/1927297/cover/1927297.jpg", "Обложка")</f>
        <v>Обложка</v>
      </c>
      <c r="V86" s="28" t="str">
        <f>HYPERLINK("https://znanium.com/catalog/product/1927297", "Ознакомиться")</f>
        <v>Ознакомиться</v>
      </c>
      <c r="W86" s="8" t="s">
        <v>114</v>
      </c>
      <c r="X86" s="6"/>
      <c r="Y86" s="6"/>
      <c r="Z86" s="6" t="s">
        <v>136</v>
      </c>
      <c r="AA86" s="6" t="s">
        <v>320</v>
      </c>
    </row>
    <row r="87" spans="1:27" s="4" customFormat="1" ht="51.95" customHeight="1">
      <c r="A87" s="5">
        <v>0</v>
      </c>
      <c r="B87" s="6" t="s">
        <v>554</v>
      </c>
      <c r="C87" s="13">
        <v>1180</v>
      </c>
      <c r="D87" s="8" t="s">
        <v>555</v>
      </c>
      <c r="E87" s="8" t="s">
        <v>556</v>
      </c>
      <c r="F87" s="8" t="s">
        <v>446</v>
      </c>
      <c r="G87" s="6" t="s">
        <v>58</v>
      </c>
      <c r="H87" s="6" t="s">
        <v>38</v>
      </c>
      <c r="I87" s="8"/>
      <c r="J87" s="9">
        <v>1</v>
      </c>
      <c r="K87" s="9">
        <v>368</v>
      </c>
      <c r="L87" s="9">
        <v>2019</v>
      </c>
      <c r="M87" s="8" t="s">
        <v>557</v>
      </c>
      <c r="N87" s="8" t="s">
        <v>40</v>
      </c>
      <c r="O87" s="8" t="s">
        <v>41</v>
      </c>
      <c r="P87" s="6" t="s">
        <v>95</v>
      </c>
      <c r="Q87" s="8" t="s">
        <v>76</v>
      </c>
      <c r="R87" s="10" t="s">
        <v>558</v>
      </c>
      <c r="S87" s="11"/>
      <c r="T87" s="6"/>
      <c r="U87" s="28" t="str">
        <f>HYPERLINK("https://media.infra-m.ru/1020/1020224/cover/1020224.jpg", "Обложка")</f>
        <v>Обложка</v>
      </c>
      <c r="V87" s="28" t="str">
        <f>HYPERLINK("https://znanium.com/catalog/product/1137865", "Ознакомиться")</f>
        <v>Ознакомиться</v>
      </c>
      <c r="W87" s="8" t="s">
        <v>114</v>
      </c>
      <c r="X87" s="6"/>
      <c r="Y87" s="6"/>
      <c r="Z87" s="6"/>
      <c r="AA87" s="6" t="s">
        <v>559</v>
      </c>
    </row>
    <row r="88" spans="1:27" s="4" customFormat="1" ht="51.95" customHeight="1">
      <c r="A88" s="5">
        <v>0</v>
      </c>
      <c r="B88" s="6" t="s">
        <v>560</v>
      </c>
      <c r="C88" s="13">
        <v>1269.9000000000001</v>
      </c>
      <c r="D88" s="8" t="s">
        <v>561</v>
      </c>
      <c r="E88" s="8" t="s">
        <v>562</v>
      </c>
      <c r="F88" s="8" t="s">
        <v>446</v>
      </c>
      <c r="G88" s="6" t="s">
        <v>58</v>
      </c>
      <c r="H88" s="6" t="s">
        <v>38</v>
      </c>
      <c r="I88" s="8"/>
      <c r="J88" s="9">
        <v>1</v>
      </c>
      <c r="K88" s="9">
        <v>336</v>
      </c>
      <c r="L88" s="9">
        <v>2021</v>
      </c>
      <c r="M88" s="8" t="s">
        <v>563</v>
      </c>
      <c r="N88" s="8" t="s">
        <v>40</v>
      </c>
      <c r="O88" s="8" t="s">
        <v>41</v>
      </c>
      <c r="P88" s="6" t="s">
        <v>95</v>
      </c>
      <c r="Q88" s="8" t="s">
        <v>76</v>
      </c>
      <c r="R88" s="10" t="s">
        <v>558</v>
      </c>
      <c r="S88" s="11"/>
      <c r="T88" s="6"/>
      <c r="U88" s="28" t="str">
        <f>HYPERLINK("https://media.infra-m.ru/1137/1137865/cover/1137865.jpg", "Обложка")</f>
        <v>Обложка</v>
      </c>
      <c r="V88" s="28" t="str">
        <f>HYPERLINK("https://znanium.com/catalog/product/1137865", "Ознакомиться")</f>
        <v>Ознакомиться</v>
      </c>
      <c r="W88" s="8" t="s">
        <v>114</v>
      </c>
      <c r="X88" s="6"/>
      <c r="Y88" s="6"/>
      <c r="Z88" s="6"/>
      <c r="AA88" s="6" t="s">
        <v>202</v>
      </c>
    </row>
    <row r="89" spans="1:27" s="4" customFormat="1" ht="42" customHeight="1">
      <c r="A89" s="5">
        <v>0</v>
      </c>
      <c r="B89" s="6" t="s">
        <v>564</v>
      </c>
      <c r="C89" s="13">
        <v>1444.9</v>
      </c>
      <c r="D89" s="8" t="s">
        <v>565</v>
      </c>
      <c r="E89" s="8" t="s">
        <v>566</v>
      </c>
      <c r="F89" s="8" t="s">
        <v>567</v>
      </c>
      <c r="G89" s="6" t="s">
        <v>58</v>
      </c>
      <c r="H89" s="6" t="s">
        <v>38</v>
      </c>
      <c r="I89" s="8"/>
      <c r="J89" s="9">
        <v>1</v>
      </c>
      <c r="K89" s="9">
        <v>384</v>
      </c>
      <c r="L89" s="9">
        <v>2021</v>
      </c>
      <c r="M89" s="8" t="s">
        <v>568</v>
      </c>
      <c r="N89" s="8" t="s">
        <v>40</v>
      </c>
      <c r="O89" s="8" t="s">
        <v>41</v>
      </c>
      <c r="P89" s="6" t="s">
        <v>95</v>
      </c>
      <c r="Q89" s="8" t="s">
        <v>76</v>
      </c>
      <c r="R89" s="10" t="s">
        <v>113</v>
      </c>
      <c r="S89" s="11"/>
      <c r="T89" s="6"/>
      <c r="U89" s="28" t="str">
        <f>HYPERLINK("https://media.infra-m.ru/1405/1405583/cover/1405583.jpg", "Обложка")</f>
        <v>Обложка</v>
      </c>
      <c r="V89" s="28" t="str">
        <f>HYPERLINK("https://znanium.com/catalog/product/1405583", "Ознакомиться")</f>
        <v>Ознакомиться</v>
      </c>
      <c r="W89" s="8" t="s">
        <v>114</v>
      </c>
      <c r="X89" s="6"/>
      <c r="Y89" s="6"/>
      <c r="Z89" s="6"/>
      <c r="AA89" s="6" t="s">
        <v>62</v>
      </c>
    </row>
    <row r="90" spans="1:27" s="4" customFormat="1" ht="21.95" customHeight="1">
      <c r="A90" s="5">
        <v>0</v>
      </c>
      <c r="B90" s="6" t="s">
        <v>569</v>
      </c>
      <c r="C90" s="7">
        <v>144.9</v>
      </c>
      <c r="D90" s="8" t="s">
        <v>570</v>
      </c>
      <c r="E90" s="8" t="s">
        <v>566</v>
      </c>
      <c r="F90" s="8"/>
      <c r="G90" s="6" t="s">
        <v>51</v>
      </c>
      <c r="H90" s="6" t="s">
        <v>52</v>
      </c>
      <c r="I90" s="8" t="s">
        <v>226</v>
      </c>
      <c r="J90" s="9">
        <v>1</v>
      </c>
      <c r="K90" s="9">
        <v>128</v>
      </c>
      <c r="L90" s="9">
        <v>2020</v>
      </c>
      <c r="M90" s="8" t="s">
        <v>571</v>
      </c>
      <c r="N90" s="8" t="s">
        <v>40</v>
      </c>
      <c r="O90" s="8" t="s">
        <v>41</v>
      </c>
      <c r="P90" s="6" t="s">
        <v>228</v>
      </c>
      <c r="Q90" s="8" t="s">
        <v>76</v>
      </c>
      <c r="R90" s="10" t="s">
        <v>572</v>
      </c>
      <c r="S90" s="11"/>
      <c r="T90" s="6"/>
      <c r="U90" s="12"/>
      <c r="V90" s="12"/>
      <c r="W90" s="8"/>
      <c r="X90" s="6"/>
      <c r="Y90" s="6"/>
      <c r="Z90" s="6"/>
      <c r="AA90" s="6" t="s">
        <v>311</v>
      </c>
    </row>
    <row r="91" spans="1:27" s="4" customFormat="1" ht="42" customHeight="1">
      <c r="A91" s="5">
        <v>0</v>
      </c>
      <c r="B91" s="6" t="s">
        <v>573</v>
      </c>
      <c r="C91" s="13">
        <v>2180</v>
      </c>
      <c r="D91" s="8" t="s">
        <v>574</v>
      </c>
      <c r="E91" s="8" t="s">
        <v>575</v>
      </c>
      <c r="F91" s="8" t="s">
        <v>576</v>
      </c>
      <c r="G91" s="6" t="s">
        <v>37</v>
      </c>
      <c r="H91" s="6" t="s">
        <v>84</v>
      </c>
      <c r="I91" s="8" t="s">
        <v>251</v>
      </c>
      <c r="J91" s="9">
        <v>1</v>
      </c>
      <c r="K91" s="9">
        <v>549</v>
      </c>
      <c r="L91" s="9">
        <v>2023</v>
      </c>
      <c r="M91" s="8" t="s">
        <v>577</v>
      </c>
      <c r="N91" s="8" t="s">
        <v>40</v>
      </c>
      <c r="O91" s="8" t="s">
        <v>41</v>
      </c>
      <c r="P91" s="6" t="s">
        <v>42</v>
      </c>
      <c r="Q91" s="8" t="s">
        <v>43</v>
      </c>
      <c r="R91" s="10" t="s">
        <v>578</v>
      </c>
      <c r="S91" s="11"/>
      <c r="T91" s="6"/>
      <c r="U91" s="28" t="str">
        <f>HYPERLINK("https://media.infra-m.ru/1873/1873036/cover/1873036.jpg", "Обложка")</f>
        <v>Обложка</v>
      </c>
      <c r="V91" s="28" t="str">
        <f>HYPERLINK("https://znanium.com/catalog/product/1873036", "Ознакомиться")</f>
        <v>Ознакомиться</v>
      </c>
      <c r="W91" s="8" t="s">
        <v>107</v>
      </c>
      <c r="X91" s="6"/>
      <c r="Y91" s="6"/>
      <c r="Z91" s="6"/>
      <c r="AA91" s="6" t="s">
        <v>46</v>
      </c>
    </row>
    <row r="92" spans="1:27" s="4" customFormat="1" ht="51.95" customHeight="1">
      <c r="A92" s="5">
        <v>0</v>
      </c>
      <c r="B92" s="6" t="s">
        <v>579</v>
      </c>
      <c r="C92" s="13">
        <v>1330</v>
      </c>
      <c r="D92" s="8" t="s">
        <v>580</v>
      </c>
      <c r="E92" s="8" t="s">
        <v>581</v>
      </c>
      <c r="F92" s="8" t="s">
        <v>582</v>
      </c>
      <c r="G92" s="6" t="s">
        <v>37</v>
      </c>
      <c r="H92" s="6" t="s">
        <v>38</v>
      </c>
      <c r="I92" s="8"/>
      <c r="J92" s="9">
        <v>1</v>
      </c>
      <c r="K92" s="9">
        <v>296</v>
      </c>
      <c r="L92" s="9">
        <v>2023</v>
      </c>
      <c r="M92" s="8" t="s">
        <v>583</v>
      </c>
      <c r="N92" s="8" t="s">
        <v>40</v>
      </c>
      <c r="O92" s="8" t="s">
        <v>41</v>
      </c>
      <c r="P92" s="6" t="s">
        <v>42</v>
      </c>
      <c r="Q92" s="8" t="s">
        <v>43</v>
      </c>
      <c r="R92" s="10" t="s">
        <v>584</v>
      </c>
      <c r="S92" s="11"/>
      <c r="T92" s="6"/>
      <c r="U92" s="28" t="str">
        <f>HYPERLINK("https://media.infra-m.ru/1976/1976101/cover/1976101.jpg", "Обложка")</f>
        <v>Обложка</v>
      </c>
      <c r="V92" s="28" t="str">
        <f>HYPERLINK("https://znanium.com/catalog/product/1976101", "Ознакомиться")</f>
        <v>Ознакомиться</v>
      </c>
      <c r="W92" s="8" t="s">
        <v>114</v>
      </c>
      <c r="X92" s="6"/>
      <c r="Y92" s="6"/>
      <c r="Z92" s="6"/>
      <c r="AA92" s="6" t="s">
        <v>62</v>
      </c>
    </row>
    <row r="93" spans="1:27" s="4" customFormat="1" ht="42" customHeight="1">
      <c r="A93" s="5">
        <v>0</v>
      </c>
      <c r="B93" s="6" t="s">
        <v>585</v>
      </c>
      <c r="C93" s="7">
        <v>630</v>
      </c>
      <c r="D93" s="8" t="s">
        <v>586</v>
      </c>
      <c r="E93" s="8" t="s">
        <v>587</v>
      </c>
      <c r="F93" s="8" t="s">
        <v>588</v>
      </c>
      <c r="G93" s="6" t="s">
        <v>37</v>
      </c>
      <c r="H93" s="6" t="s">
        <v>38</v>
      </c>
      <c r="I93" s="8"/>
      <c r="J93" s="9">
        <v>1</v>
      </c>
      <c r="K93" s="9">
        <v>128</v>
      </c>
      <c r="L93" s="9">
        <v>2024</v>
      </c>
      <c r="M93" s="8" t="s">
        <v>589</v>
      </c>
      <c r="N93" s="8" t="s">
        <v>40</v>
      </c>
      <c r="O93" s="8" t="s">
        <v>41</v>
      </c>
      <c r="P93" s="6" t="s">
        <v>75</v>
      </c>
      <c r="Q93" s="8" t="s">
        <v>76</v>
      </c>
      <c r="R93" s="10" t="s">
        <v>304</v>
      </c>
      <c r="S93" s="11"/>
      <c r="T93" s="6"/>
      <c r="U93" s="28" t="str">
        <f>HYPERLINK("https://media.infra-m.ru/2111/2111409/cover/2111409.jpg", "Обложка")</f>
        <v>Обложка</v>
      </c>
      <c r="V93" s="28" t="str">
        <f>HYPERLINK("https://znanium.com/catalog/product/1996300", "Ознакомиться")</f>
        <v>Ознакомиться</v>
      </c>
      <c r="W93" s="8" t="s">
        <v>114</v>
      </c>
      <c r="X93" s="6"/>
      <c r="Y93" s="6"/>
      <c r="Z93" s="6"/>
      <c r="AA93" s="6" t="s">
        <v>62</v>
      </c>
    </row>
    <row r="94" spans="1:27" s="4" customFormat="1" ht="42" customHeight="1">
      <c r="A94" s="5">
        <v>0</v>
      </c>
      <c r="B94" s="6" t="s">
        <v>590</v>
      </c>
      <c r="C94" s="7">
        <v>500</v>
      </c>
      <c r="D94" s="8" t="s">
        <v>591</v>
      </c>
      <c r="E94" s="8" t="s">
        <v>592</v>
      </c>
      <c r="F94" s="8" t="s">
        <v>593</v>
      </c>
      <c r="G94" s="6" t="s">
        <v>51</v>
      </c>
      <c r="H94" s="6" t="s">
        <v>38</v>
      </c>
      <c r="I94" s="8"/>
      <c r="J94" s="9">
        <v>1</v>
      </c>
      <c r="K94" s="9">
        <v>128</v>
      </c>
      <c r="L94" s="9">
        <v>2022</v>
      </c>
      <c r="M94" s="8" t="s">
        <v>594</v>
      </c>
      <c r="N94" s="8" t="s">
        <v>40</v>
      </c>
      <c r="O94" s="8" t="s">
        <v>41</v>
      </c>
      <c r="P94" s="6" t="s">
        <v>42</v>
      </c>
      <c r="Q94" s="8" t="s">
        <v>43</v>
      </c>
      <c r="R94" s="10" t="s">
        <v>304</v>
      </c>
      <c r="S94" s="11"/>
      <c r="T94" s="6"/>
      <c r="U94" s="28" t="str">
        <f>HYPERLINK("https://media.infra-m.ru/1859/1859960/cover/1859960.jpg", "Обложка")</f>
        <v>Обложка</v>
      </c>
      <c r="V94" s="28" t="str">
        <f>HYPERLINK("https://znanium.com/catalog/product/1850129", "Ознакомиться")</f>
        <v>Ознакомиться</v>
      </c>
      <c r="W94" s="8" t="s">
        <v>114</v>
      </c>
      <c r="X94" s="6"/>
      <c r="Y94" s="6"/>
      <c r="Z94" s="6"/>
      <c r="AA94" s="6" t="s">
        <v>311</v>
      </c>
    </row>
    <row r="95" spans="1:27" s="4" customFormat="1" ht="51.95" customHeight="1">
      <c r="A95" s="5">
        <v>0</v>
      </c>
      <c r="B95" s="6" t="s">
        <v>595</v>
      </c>
      <c r="C95" s="13">
        <v>1220</v>
      </c>
      <c r="D95" s="8" t="s">
        <v>596</v>
      </c>
      <c r="E95" s="8" t="s">
        <v>597</v>
      </c>
      <c r="F95" s="8" t="s">
        <v>598</v>
      </c>
      <c r="G95" s="6" t="s">
        <v>37</v>
      </c>
      <c r="H95" s="6" t="s">
        <v>84</v>
      </c>
      <c r="I95" s="8"/>
      <c r="J95" s="9">
        <v>1</v>
      </c>
      <c r="K95" s="9">
        <v>320</v>
      </c>
      <c r="L95" s="9">
        <v>2022</v>
      </c>
      <c r="M95" s="8" t="s">
        <v>599</v>
      </c>
      <c r="N95" s="8" t="s">
        <v>40</v>
      </c>
      <c r="O95" s="8" t="s">
        <v>41</v>
      </c>
      <c r="P95" s="6" t="s">
        <v>42</v>
      </c>
      <c r="Q95" s="8" t="s">
        <v>43</v>
      </c>
      <c r="R95" s="10" t="s">
        <v>584</v>
      </c>
      <c r="S95" s="11"/>
      <c r="T95" s="6"/>
      <c r="U95" s="28" t="str">
        <f>HYPERLINK("https://media.infra-m.ru/1851/1851214/cover/1851214.jpg", "Обложка")</f>
        <v>Обложка</v>
      </c>
      <c r="V95" s="28" t="str">
        <f>HYPERLINK("https://znanium.com/catalog/product/1851214", "Ознакомиться")</f>
        <v>Ознакомиться</v>
      </c>
      <c r="W95" s="8" t="s">
        <v>45</v>
      </c>
      <c r="X95" s="6"/>
      <c r="Y95" s="6"/>
      <c r="Z95" s="6"/>
      <c r="AA95" s="6" t="s">
        <v>46</v>
      </c>
    </row>
    <row r="96" spans="1:27" s="4" customFormat="1" ht="42" customHeight="1">
      <c r="A96" s="5">
        <v>0</v>
      </c>
      <c r="B96" s="6" t="s">
        <v>600</v>
      </c>
      <c r="C96" s="7">
        <v>814</v>
      </c>
      <c r="D96" s="8" t="s">
        <v>601</v>
      </c>
      <c r="E96" s="8" t="s">
        <v>602</v>
      </c>
      <c r="F96" s="8" t="s">
        <v>603</v>
      </c>
      <c r="G96" s="6" t="s">
        <v>37</v>
      </c>
      <c r="H96" s="6" t="s">
        <v>84</v>
      </c>
      <c r="I96" s="8"/>
      <c r="J96" s="9">
        <v>1</v>
      </c>
      <c r="K96" s="9">
        <v>176</v>
      </c>
      <c r="L96" s="9">
        <v>2024</v>
      </c>
      <c r="M96" s="8" t="s">
        <v>604</v>
      </c>
      <c r="N96" s="8" t="s">
        <v>40</v>
      </c>
      <c r="O96" s="8" t="s">
        <v>41</v>
      </c>
      <c r="P96" s="6" t="s">
        <v>605</v>
      </c>
      <c r="Q96" s="8" t="s">
        <v>43</v>
      </c>
      <c r="R96" s="10" t="s">
        <v>69</v>
      </c>
      <c r="S96" s="11"/>
      <c r="T96" s="6"/>
      <c r="U96" s="28" t="str">
        <f>HYPERLINK("https://media.infra-m.ru/2085/2085097/cover/2085097.jpg", "Обложка")</f>
        <v>Обложка</v>
      </c>
      <c r="V96" s="28" t="str">
        <f>HYPERLINK("https://znanium.com/catalog/product/1895645", "Ознакомиться")</f>
        <v>Ознакомиться</v>
      </c>
      <c r="W96" s="8" t="s">
        <v>45</v>
      </c>
      <c r="X96" s="6"/>
      <c r="Y96" s="6"/>
      <c r="Z96" s="6"/>
      <c r="AA96" s="6" t="s">
        <v>115</v>
      </c>
    </row>
    <row r="97" spans="1:27" s="4" customFormat="1" ht="44.1" customHeight="1">
      <c r="A97" s="5">
        <v>0</v>
      </c>
      <c r="B97" s="6" t="s">
        <v>606</v>
      </c>
      <c r="C97" s="7">
        <v>920</v>
      </c>
      <c r="D97" s="8" t="s">
        <v>607</v>
      </c>
      <c r="E97" s="8" t="s">
        <v>608</v>
      </c>
      <c r="F97" s="8" t="s">
        <v>609</v>
      </c>
      <c r="G97" s="6" t="s">
        <v>58</v>
      </c>
      <c r="H97" s="6" t="s">
        <v>38</v>
      </c>
      <c r="I97" s="8" t="s">
        <v>93</v>
      </c>
      <c r="J97" s="9">
        <v>1</v>
      </c>
      <c r="K97" s="9">
        <v>272</v>
      </c>
      <c r="L97" s="9">
        <v>2019</v>
      </c>
      <c r="M97" s="8" t="s">
        <v>610</v>
      </c>
      <c r="N97" s="8" t="s">
        <v>40</v>
      </c>
      <c r="O97" s="8" t="s">
        <v>41</v>
      </c>
      <c r="P97" s="6" t="s">
        <v>95</v>
      </c>
      <c r="Q97" s="8" t="s">
        <v>96</v>
      </c>
      <c r="R97" s="10" t="s">
        <v>611</v>
      </c>
      <c r="S97" s="11"/>
      <c r="T97" s="6"/>
      <c r="U97" s="28" t="str">
        <f>HYPERLINK("https://media.infra-m.ru/1029/1029666/cover/1029666.jpg", "Обложка")</f>
        <v>Обложка</v>
      </c>
      <c r="V97" s="28" t="str">
        <f>HYPERLINK("https://znanium.com/catalog/product/1029666", "Ознакомиться")</f>
        <v>Ознакомиться</v>
      </c>
      <c r="W97" s="8" t="s">
        <v>114</v>
      </c>
      <c r="X97" s="6"/>
      <c r="Y97" s="6"/>
      <c r="Z97" s="6" t="s">
        <v>612</v>
      </c>
      <c r="AA97" s="6" t="s">
        <v>79</v>
      </c>
    </row>
    <row r="98" spans="1:27" s="4" customFormat="1" ht="51.95" customHeight="1">
      <c r="A98" s="5">
        <v>0</v>
      </c>
      <c r="B98" s="6" t="s">
        <v>613</v>
      </c>
      <c r="C98" s="7">
        <v>980</v>
      </c>
      <c r="D98" s="8" t="s">
        <v>614</v>
      </c>
      <c r="E98" s="8" t="s">
        <v>615</v>
      </c>
      <c r="F98" s="8" t="s">
        <v>616</v>
      </c>
      <c r="G98" s="6" t="s">
        <v>58</v>
      </c>
      <c r="H98" s="6" t="s">
        <v>617</v>
      </c>
      <c r="I98" s="8" t="s">
        <v>120</v>
      </c>
      <c r="J98" s="9">
        <v>1</v>
      </c>
      <c r="K98" s="9">
        <v>416</v>
      </c>
      <c r="L98" s="9">
        <v>2015</v>
      </c>
      <c r="M98" s="8" t="s">
        <v>618</v>
      </c>
      <c r="N98" s="8" t="s">
        <v>40</v>
      </c>
      <c r="O98" s="8" t="s">
        <v>41</v>
      </c>
      <c r="P98" s="6" t="s">
        <v>95</v>
      </c>
      <c r="Q98" s="8" t="s">
        <v>76</v>
      </c>
      <c r="R98" s="10" t="s">
        <v>619</v>
      </c>
      <c r="S98" s="11" t="s">
        <v>620</v>
      </c>
      <c r="T98" s="6"/>
      <c r="U98" s="28" t="str">
        <f>HYPERLINK("https://media.infra-m.ru/0882/0882303/cover/882303.jpg", "Обложка")</f>
        <v>Обложка</v>
      </c>
      <c r="V98" s="28" t="str">
        <f>HYPERLINK("https://znanium.com/catalog/product/1939103", "Ознакомиться")</f>
        <v>Ознакомиться</v>
      </c>
      <c r="W98" s="8" t="s">
        <v>621</v>
      </c>
      <c r="X98" s="6"/>
      <c r="Y98" s="6"/>
      <c r="Z98" s="6"/>
      <c r="AA98" s="6" t="s">
        <v>622</v>
      </c>
    </row>
    <row r="99" spans="1:27" s="4" customFormat="1" ht="51.95" customHeight="1">
      <c r="A99" s="5">
        <v>0</v>
      </c>
      <c r="B99" s="6" t="s">
        <v>623</v>
      </c>
      <c r="C99" s="13">
        <v>1820</v>
      </c>
      <c r="D99" s="8" t="s">
        <v>624</v>
      </c>
      <c r="E99" s="8" t="s">
        <v>625</v>
      </c>
      <c r="F99" s="8" t="s">
        <v>626</v>
      </c>
      <c r="G99" s="6" t="s">
        <v>37</v>
      </c>
      <c r="H99" s="6" t="s">
        <v>84</v>
      </c>
      <c r="I99" s="8" t="s">
        <v>185</v>
      </c>
      <c r="J99" s="9">
        <v>1</v>
      </c>
      <c r="K99" s="9">
        <v>404</v>
      </c>
      <c r="L99" s="9">
        <v>2023</v>
      </c>
      <c r="M99" s="8" t="s">
        <v>627</v>
      </c>
      <c r="N99" s="8" t="s">
        <v>40</v>
      </c>
      <c r="O99" s="8" t="s">
        <v>41</v>
      </c>
      <c r="P99" s="6" t="s">
        <v>95</v>
      </c>
      <c r="Q99" s="8" t="s">
        <v>76</v>
      </c>
      <c r="R99" s="10" t="s">
        <v>619</v>
      </c>
      <c r="S99" s="11" t="s">
        <v>628</v>
      </c>
      <c r="T99" s="6"/>
      <c r="U99" s="28" t="str">
        <f>HYPERLINK("https://media.infra-m.ru/1939/1939103/cover/1939103.jpg", "Обложка")</f>
        <v>Обложка</v>
      </c>
      <c r="V99" s="28" t="str">
        <f>HYPERLINK("https://znanium.com/catalog/product/1939103", "Ознакомиться")</f>
        <v>Ознакомиться</v>
      </c>
      <c r="W99" s="8" t="s">
        <v>621</v>
      </c>
      <c r="X99" s="6"/>
      <c r="Y99" s="6"/>
      <c r="Z99" s="6"/>
      <c r="AA99" s="6" t="s">
        <v>171</v>
      </c>
    </row>
    <row r="100" spans="1:27" s="4" customFormat="1" ht="51.95" customHeight="1">
      <c r="A100" s="5">
        <v>0</v>
      </c>
      <c r="B100" s="6" t="s">
        <v>629</v>
      </c>
      <c r="C100" s="7">
        <v>874.9</v>
      </c>
      <c r="D100" s="8" t="s">
        <v>630</v>
      </c>
      <c r="E100" s="8" t="s">
        <v>631</v>
      </c>
      <c r="F100" s="8" t="s">
        <v>632</v>
      </c>
      <c r="G100" s="6" t="s">
        <v>58</v>
      </c>
      <c r="H100" s="6" t="s">
        <v>38</v>
      </c>
      <c r="I100" s="8"/>
      <c r="J100" s="9">
        <v>1</v>
      </c>
      <c r="K100" s="9">
        <v>256</v>
      </c>
      <c r="L100" s="9">
        <v>2020</v>
      </c>
      <c r="M100" s="8" t="s">
        <v>633</v>
      </c>
      <c r="N100" s="8" t="s">
        <v>40</v>
      </c>
      <c r="O100" s="8" t="s">
        <v>41</v>
      </c>
      <c r="P100" s="6" t="s">
        <v>75</v>
      </c>
      <c r="Q100" s="8" t="s">
        <v>157</v>
      </c>
      <c r="R100" s="10" t="s">
        <v>634</v>
      </c>
      <c r="S100" s="11"/>
      <c r="T100" s="6"/>
      <c r="U100" s="28" t="str">
        <f>HYPERLINK("https://media.infra-m.ru/1072/1072241/cover/1072241.jpg", "Обложка")</f>
        <v>Обложка</v>
      </c>
      <c r="V100" s="28" t="str">
        <f>HYPERLINK("https://znanium.com/catalog/product/1981562", "Ознакомиться")</f>
        <v>Ознакомиться</v>
      </c>
      <c r="W100" s="8" t="s">
        <v>114</v>
      </c>
      <c r="X100" s="6"/>
      <c r="Y100" s="6"/>
      <c r="Z100" s="6"/>
      <c r="AA100" s="6" t="s">
        <v>635</v>
      </c>
    </row>
    <row r="101" spans="1:27" s="4" customFormat="1" ht="44.1" customHeight="1">
      <c r="A101" s="5">
        <v>0</v>
      </c>
      <c r="B101" s="6" t="s">
        <v>636</v>
      </c>
      <c r="C101" s="7">
        <v>850</v>
      </c>
      <c r="D101" s="8" t="s">
        <v>637</v>
      </c>
      <c r="E101" s="8" t="s">
        <v>631</v>
      </c>
      <c r="F101" s="8" t="s">
        <v>632</v>
      </c>
      <c r="G101" s="6" t="s">
        <v>58</v>
      </c>
      <c r="H101" s="6" t="s">
        <v>38</v>
      </c>
      <c r="I101" s="8" t="s">
        <v>93</v>
      </c>
      <c r="J101" s="9">
        <v>1</v>
      </c>
      <c r="K101" s="9">
        <v>256</v>
      </c>
      <c r="L101" s="9">
        <v>2019</v>
      </c>
      <c r="M101" s="8" t="s">
        <v>638</v>
      </c>
      <c r="N101" s="8" t="s">
        <v>40</v>
      </c>
      <c r="O101" s="8" t="s">
        <v>41</v>
      </c>
      <c r="P101" s="6" t="s">
        <v>75</v>
      </c>
      <c r="Q101" s="8" t="s">
        <v>96</v>
      </c>
      <c r="R101" s="10" t="s">
        <v>639</v>
      </c>
      <c r="S101" s="11"/>
      <c r="T101" s="6"/>
      <c r="U101" s="28" t="str">
        <f>HYPERLINK("https://media.infra-m.ru/1029/1029667/cover/1029667.jpg", "Обложка")</f>
        <v>Обложка</v>
      </c>
      <c r="V101" s="28" t="str">
        <f>HYPERLINK("https://znanium.com/catalog/product/1029667", "Ознакомиться")</f>
        <v>Ознакомиться</v>
      </c>
      <c r="W101" s="8" t="s">
        <v>114</v>
      </c>
      <c r="X101" s="6"/>
      <c r="Y101" s="6"/>
      <c r="Z101" s="6" t="s">
        <v>612</v>
      </c>
      <c r="AA101" s="6" t="s">
        <v>640</v>
      </c>
    </row>
    <row r="102" spans="1:27" s="4" customFormat="1" ht="51.95" customHeight="1">
      <c r="A102" s="5">
        <v>0</v>
      </c>
      <c r="B102" s="6" t="s">
        <v>641</v>
      </c>
      <c r="C102" s="13">
        <v>1200</v>
      </c>
      <c r="D102" s="8" t="s">
        <v>642</v>
      </c>
      <c r="E102" s="8" t="s">
        <v>643</v>
      </c>
      <c r="F102" s="8" t="s">
        <v>632</v>
      </c>
      <c r="G102" s="6" t="s">
        <v>58</v>
      </c>
      <c r="H102" s="6" t="s">
        <v>38</v>
      </c>
      <c r="I102" s="8"/>
      <c r="J102" s="9">
        <v>1</v>
      </c>
      <c r="K102" s="9">
        <v>260</v>
      </c>
      <c r="L102" s="9">
        <v>2023</v>
      </c>
      <c r="M102" s="8" t="s">
        <v>644</v>
      </c>
      <c r="N102" s="8" t="s">
        <v>40</v>
      </c>
      <c r="O102" s="8" t="s">
        <v>41</v>
      </c>
      <c r="P102" s="6" t="s">
        <v>75</v>
      </c>
      <c r="Q102" s="8" t="s">
        <v>157</v>
      </c>
      <c r="R102" s="10" t="s">
        <v>634</v>
      </c>
      <c r="S102" s="11"/>
      <c r="T102" s="6"/>
      <c r="U102" s="28" t="str">
        <f>HYPERLINK("https://media.infra-m.ru/1981/1981562/cover/1981562.jpg", "Обложка")</f>
        <v>Обложка</v>
      </c>
      <c r="V102" s="28" t="str">
        <f>HYPERLINK("https://znanium.com/catalog/product/1981562", "Ознакомиться")</f>
        <v>Ознакомиться</v>
      </c>
      <c r="W102" s="8" t="s">
        <v>114</v>
      </c>
      <c r="X102" s="6" t="s">
        <v>645</v>
      </c>
      <c r="Y102" s="6"/>
      <c r="Z102" s="6"/>
      <c r="AA102" s="6" t="s">
        <v>646</v>
      </c>
    </row>
    <row r="103" spans="1:27" s="4" customFormat="1" ht="51.95" customHeight="1">
      <c r="A103" s="5">
        <v>0</v>
      </c>
      <c r="B103" s="6" t="s">
        <v>647</v>
      </c>
      <c r="C103" s="7">
        <v>810</v>
      </c>
      <c r="D103" s="8" t="s">
        <v>648</v>
      </c>
      <c r="E103" s="8" t="s">
        <v>649</v>
      </c>
      <c r="F103" s="8" t="s">
        <v>650</v>
      </c>
      <c r="G103" s="6" t="s">
        <v>51</v>
      </c>
      <c r="H103" s="6" t="s">
        <v>84</v>
      </c>
      <c r="I103" s="8" t="s">
        <v>251</v>
      </c>
      <c r="J103" s="9">
        <v>1</v>
      </c>
      <c r="K103" s="9">
        <v>176</v>
      </c>
      <c r="L103" s="9">
        <v>2024</v>
      </c>
      <c r="M103" s="8" t="s">
        <v>651</v>
      </c>
      <c r="N103" s="8" t="s">
        <v>40</v>
      </c>
      <c r="O103" s="8" t="s">
        <v>41</v>
      </c>
      <c r="P103" s="6" t="s">
        <v>42</v>
      </c>
      <c r="Q103" s="8" t="s">
        <v>43</v>
      </c>
      <c r="R103" s="10" t="s">
        <v>652</v>
      </c>
      <c r="S103" s="11"/>
      <c r="T103" s="6"/>
      <c r="U103" s="28" t="str">
        <f>HYPERLINK("https://media.infra-m.ru/2079/2079620/cover/2079620.jpg", "Обложка")</f>
        <v>Обложка</v>
      </c>
      <c r="V103" s="28" t="str">
        <f>HYPERLINK("https://znanium.com/catalog/product/2079620", "Ознакомиться")</f>
        <v>Ознакомиться</v>
      </c>
      <c r="W103" s="8" t="s">
        <v>621</v>
      </c>
      <c r="X103" s="6"/>
      <c r="Y103" s="6"/>
      <c r="Z103" s="6"/>
      <c r="AA103" s="6" t="s">
        <v>422</v>
      </c>
    </row>
    <row r="104" spans="1:27" s="4" customFormat="1" ht="51.95" customHeight="1">
      <c r="A104" s="5">
        <v>0</v>
      </c>
      <c r="B104" s="6" t="s">
        <v>653</v>
      </c>
      <c r="C104" s="7">
        <v>990</v>
      </c>
      <c r="D104" s="8" t="s">
        <v>654</v>
      </c>
      <c r="E104" s="8" t="s">
        <v>655</v>
      </c>
      <c r="F104" s="8" t="s">
        <v>656</v>
      </c>
      <c r="G104" s="6" t="s">
        <v>37</v>
      </c>
      <c r="H104" s="6" t="s">
        <v>84</v>
      </c>
      <c r="I104" s="8" t="s">
        <v>251</v>
      </c>
      <c r="J104" s="9">
        <v>1</v>
      </c>
      <c r="K104" s="9">
        <v>215</v>
      </c>
      <c r="L104" s="9">
        <v>2023</v>
      </c>
      <c r="M104" s="8" t="s">
        <v>657</v>
      </c>
      <c r="N104" s="8" t="s">
        <v>40</v>
      </c>
      <c r="O104" s="8" t="s">
        <v>41</v>
      </c>
      <c r="P104" s="6" t="s">
        <v>42</v>
      </c>
      <c r="Q104" s="8" t="s">
        <v>43</v>
      </c>
      <c r="R104" s="10" t="s">
        <v>658</v>
      </c>
      <c r="S104" s="11"/>
      <c r="T104" s="6"/>
      <c r="U104" s="28" t="str">
        <f>HYPERLINK("https://media.infra-m.ru/2010/2010558/cover/2010558.jpg", "Обложка")</f>
        <v>Обложка</v>
      </c>
      <c r="V104" s="28" t="str">
        <f>HYPERLINK("https://znanium.com/catalog/product/1911565", "Ознакомиться")</f>
        <v>Ознакомиться</v>
      </c>
      <c r="W104" s="8" t="s">
        <v>659</v>
      </c>
      <c r="X104" s="6"/>
      <c r="Y104" s="6"/>
      <c r="Z104" s="6"/>
      <c r="AA104" s="6" t="s">
        <v>343</v>
      </c>
    </row>
    <row r="105" spans="1:27" s="4" customFormat="1" ht="51.95" customHeight="1">
      <c r="A105" s="5">
        <v>0</v>
      </c>
      <c r="B105" s="6" t="s">
        <v>660</v>
      </c>
      <c r="C105" s="7">
        <v>724.9</v>
      </c>
      <c r="D105" s="8" t="s">
        <v>661</v>
      </c>
      <c r="E105" s="8" t="s">
        <v>662</v>
      </c>
      <c r="F105" s="8" t="s">
        <v>663</v>
      </c>
      <c r="G105" s="6" t="s">
        <v>37</v>
      </c>
      <c r="H105" s="6" t="s">
        <v>38</v>
      </c>
      <c r="I105" s="8"/>
      <c r="J105" s="9">
        <v>1</v>
      </c>
      <c r="K105" s="9">
        <v>160</v>
      </c>
      <c r="L105" s="9">
        <v>2023</v>
      </c>
      <c r="M105" s="8" t="s">
        <v>664</v>
      </c>
      <c r="N105" s="8" t="s">
        <v>40</v>
      </c>
      <c r="O105" s="8" t="s">
        <v>41</v>
      </c>
      <c r="P105" s="6" t="s">
        <v>75</v>
      </c>
      <c r="Q105" s="8" t="s">
        <v>157</v>
      </c>
      <c r="R105" s="10" t="s">
        <v>665</v>
      </c>
      <c r="S105" s="11"/>
      <c r="T105" s="6"/>
      <c r="U105" s="28" t="str">
        <f>HYPERLINK("https://media.infra-m.ru/2024/2024017/cover/2024017.jpg", "Обложка")</f>
        <v>Обложка</v>
      </c>
      <c r="V105" s="28" t="str">
        <f>HYPERLINK("https://znanium.com/catalog/product/1938036", "Ознакомиться")</f>
        <v>Ознакомиться</v>
      </c>
      <c r="W105" s="8" t="s">
        <v>114</v>
      </c>
      <c r="X105" s="6"/>
      <c r="Y105" s="6"/>
      <c r="Z105" s="6"/>
      <c r="AA105" s="6" t="s">
        <v>46</v>
      </c>
    </row>
    <row r="106" spans="1:27" s="4" customFormat="1" ht="51.95" customHeight="1">
      <c r="A106" s="5">
        <v>0</v>
      </c>
      <c r="B106" s="6" t="s">
        <v>666</v>
      </c>
      <c r="C106" s="7">
        <v>724.9</v>
      </c>
      <c r="D106" s="8" t="s">
        <v>667</v>
      </c>
      <c r="E106" s="8" t="s">
        <v>662</v>
      </c>
      <c r="F106" s="8" t="s">
        <v>663</v>
      </c>
      <c r="G106" s="6" t="s">
        <v>58</v>
      </c>
      <c r="H106" s="6" t="s">
        <v>38</v>
      </c>
      <c r="I106" s="8" t="s">
        <v>93</v>
      </c>
      <c r="J106" s="9">
        <v>1</v>
      </c>
      <c r="K106" s="9">
        <v>160</v>
      </c>
      <c r="L106" s="9">
        <v>2023</v>
      </c>
      <c r="M106" s="8" t="s">
        <v>668</v>
      </c>
      <c r="N106" s="8" t="s">
        <v>40</v>
      </c>
      <c r="O106" s="8" t="s">
        <v>41</v>
      </c>
      <c r="P106" s="6" t="s">
        <v>75</v>
      </c>
      <c r="Q106" s="8" t="s">
        <v>96</v>
      </c>
      <c r="R106" s="10" t="s">
        <v>669</v>
      </c>
      <c r="S106" s="11"/>
      <c r="T106" s="6"/>
      <c r="U106" s="28" t="str">
        <f>HYPERLINK("https://media.infra-m.ru/1920/1920324/cover/1920324.jpg", "Обложка")</f>
        <v>Обложка</v>
      </c>
      <c r="V106" s="28" t="str">
        <f>HYPERLINK("https://znanium.com/catalog/product/1029665", "Ознакомиться")</f>
        <v>Ознакомиться</v>
      </c>
      <c r="W106" s="8" t="s">
        <v>114</v>
      </c>
      <c r="X106" s="6"/>
      <c r="Y106" s="6"/>
      <c r="Z106" s="6" t="s">
        <v>612</v>
      </c>
      <c r="AA106" s="6" t="s">
        <v>79</v>
      </c>
    </row>
    <row r="107" spans="1:27" s="4" customFormat="1" ht="51.95" customHeight="1">
      <c r="A107" s="5">
        <v>0</v>
      </c>
      <c r="B107" s="6" t="s">
        <v>670</v>
      </c>
      <c r="C107" s="7">
        <v>610</v>
      </c>
      <c r="D107" s="8" t="s">
        <v>671</v>
      </c>
      <c r="E107" s="8" t="s">
        <v>672</v>
      </c>
      <c r="F107" s="8" t="s">
        <v>673</v>
      </c>
      <c r="G107" s="6" t="s">
        <v>51</v>
      </c>
      <c r="H107" s="6" t="s">
        <v>38</v>
      </c>
      <c r="I107" s="8"/>
      <c r="J107" s="9">
        <v>1</v>
      </c>
      <c r="K107" s="9">
        <v>136</v>
      </c>
      <c r="L107" s="9">
        <v>2022</v>
      </c>
      <c r="M107" s="8" t="s">
        <v>674</v>
      </c>
      <c r="N107" s="8" t="s">
        <v>40</v>
      </c>
      <c r="O107" s="8" t="s">
        <v>41</v>
      </c>
      <c r="P107" s="6" t="s">
        <v>75</v>
      </c>
      <c r="Q107" s="8" t="s">
        <v>157</v>
      </c>
      <c r="R107" s="10" t="s">
        <v>122</v>
      </c>
      <c r="S107" s="11"/>
      <c r="T107" s="6"/>
      <c r="U107" s="28" t="str">
        <f>HYPERLINK("https://media.infra-m.ru/1903/1903410/cover/1903410.jpg", "Обложка")</f>
        <v>Обложка</v>
      </c>
      <c r="V107" s="28" t="str">
        <f>HYPERLINK("https://znanium.com/catalog/product/1220284", "Ознакомиться")</f>
        <v>Ознакомиться</v>
      </c>
      <c r="W107" s="8" t="s">
        <v>45</v>
      </c>
      <c r="X107" s="6"/>
      <c r="Y107" s="6"/>
      <c r="Z107" s="6"/>
      <c r="AA107" s="6" t="s">
        <v>115</v>
      </c>
    </row>
    <row r="108" spans="1:27" s="4" customFormat="1" ht="42" customHeight="1">
      <c r="A108" s="5">
        <v>0</v>
      </c>
      <c r="B108" s="6" t="s">
        <v>675</v>
      </c>
      <c r="C108" s="7">
        <v>789.9</v>
      </c>
      <c r="D108" s="8" t="s">
        <v>676</v>
      </c>
      <c r="E108" s="8" t="s">
        <v>677</v>
      </c>
      <c r="F108" s="8" t="s">
        <v>678</v>
      </c>
      <c r="G108" s="6" t="s">
        <v>58</v>
      </c>
      <c r="H108" s="6" t="s">
        <v>38</v>
      </c>
      <c r="I108" s="8"/>
      <c r="J108" s="9">
        <v>1</v>
      </c>
      <c r="K108" s="9">
        <v>216</v>
      </c>
      <c r="L108" s="9">
        <v>2021</v>
      </c>
      <c r="M108" s="8" t="s">
        <v>679</v>
      </c>
      <c r="N108" s="8" t="s">
        <v>40</v>
      </c>
      <c r="O108" s="8" t="s">
        <v>41</v>
      </c>
      <c r="P108" s="6" t="s">
        <v>75</v>
      </c>
      <c r="Q108" s="8" t="s">
        <v>680</v>
      </c>
      <c r="R108" s="10" t="s">
        <v>304</v>
      </c>
      <c r="S108" s="11"/>
      <c r="T108" s="6"/>
      <c r="U108" s="28" t="str">
        <f>HYPERLINK("https://media.infra-m.ru/1225/1225323/cover/1225323.jpg", "Обложка")</f>
        <v>Обложка</v>
      </c>
      <c r="V108" s="28" t="str">
        <f>HYPERLINK("https://znanium.com/catalog/product/1225323", "Ознакомиться")</f>
        <v>Ознакомиться</v>
      </c>
      <c r="W108" s="8" t="s">
        <v>114</v>
      </c>
      <c r="X108" s="6"/>
      <c r="Y108" s="6"/>
      <c r="Z108" s="6"/>
      <c r="AA108" s="6" t="s">
        <v>62</v>
      </c>
    </row>
    <row r="109" spans="1:27" s="4" customFormat="1" ht="42" customHeight="1">
      <c r="A109" s="5">
        <v>0</v>
      </c>
      <c r="B109" s="6" t="s">
        <v>681</v>
      </c>
      <c r="C109" s="13">
        <v>1794</v>
      </c>
      <c r="D109" s="8" t="s">
        <v>682</v>
      </c>
      <c r="E109" s="8" t="s">
        <v>683</v>
      </c>
      <c r="F109" s="8" t="s">
        <v>684</v>
      </c>
      <c r="G109" s="6" t="s">
        <v>58</v>
      </c>
      <c r="H109" s="6" t="s">
        <v>38</v>
      </c>
      <c r="I109" s="8"/>
      <c r="J109" s="9">
        <v>1</v>
      </c>
      <c r="K109" s="9">
        <v>560</v>
      </c>
      <c r="L109" s="9">
        <v>2024</v>
      </c>
      <c r="M109" s="8" t="s">
        <v>685</v>
      </c>
      <c r="N109" s="8" t="s">
        <v>40</v>
      </c>
      <c r="O109" s="8" t="s">
        <v>41</v>
      </c>
      <c r="P109" s="6" t="s">
        <v>42</v>
      </c>
      <c r="Q109" s="8" t="s">
        <v>43</v>
      </c>
      <c r="R109" s="10" t="s">
        <v>310</v>
      </c>
      <c r="S109" s="11"/>
      <c r="T109" s="6"/>
      <c r="U109" s="28" t="str">
        <f>HYPERLINK("https://media.infra-m.ru/2093/2093930/cover/2093930.jpg", "Обложка")</f>
        <v>Обложка</v>
      </c>
      <c r="V109" s="28" t="str">
        <f>HYPERLINK("https://znanium.com/catalog/product/987314", "Ознакомиться")</f>
        <v>Ознакомиться</v>
      </c>
      <c r="W109" s="8" t="s">
        <v>686</v>
      </c>
      <c r="X109" s="6"/>
      <c r="Y109" s="6"/>
      <c r="Z109" s="6"/>
      <c r="AA109" s="6" t="s">
        <v>289</v>
      </c>
    </row>
    <row r="110" spans="1:27" s="4" customFormat="1" ht="51.95" customHeight="1">
      <c r="A110" s="5">
        <v>0</v>
      </c>
      <c r="B110" s="6" t="s">
        <v>687</v>
      </c>
      <c r="C110" s="7">
        <v>270</v>
      </c>
      <c r="D110" s="8" t="s">
        <v>688</v>
      </c>
      <c r="E110" s="8" t="s">
        <v>689</v>
      </c>
      <c r="F110" s="8" t="s">
        <v>690</v>
      </c>
      <c r="G110" s="6" t="s">
        <v>51</v>
      </c>
      <c r="H110" s="6" t="s">
        <v>38</v>
      </c>
      <c r="I110" s="8"/>
      <c r="J110" s="9">
        <v>1</v>
      </c>
      <c r="K110" s="9">
        <v>48</v>
      </c>
      <c r="L110" s="9">
        <v>2022</v>
      </c>
      <c r="M110" s="8" t="s">
        <v>691</v>
      </c>
      <c r="N110" s="8" t="s">
        <v>40</v>
      </c>
      <c r="O110" s="8" t="s">
        <v>41</v>
      </c>
      <c r="P110" s="6" t="s">
        <v>75</v>
      </c>
      <c r="Q110" s="8" t="s">
        <v>76</v>
      </c>
      <c r="R110" s="10" t="s">
        <v>235</v>
      </c>
      <c r="S110" s="11"/>
      <c r="T110" s="6"/>
      <c r="U110" s="28" t="str">
        <f>HYPERLINK("https://media.infra-m.ru/2043/2043310/cover/2043310.jpg", "Обложка")</f>
        <v>Обложка</v>
      </c>
      <c r="V110" s="28" t="str">
        <f>HYPERLINK("https://znanium.com/catalog/product/1938037", "Ознакомиться")</f>
        <v>Ознакомиться</v>
      </c>
      <c r="W110" s="8" t="s">
        <v>692</v>
      </c>
      <c r="X110" s="6"/>
      <c r="Y110" s="6"/>
      <c r="Z110" s="6"/>
      <c r="AA110" s="6" t="s">
        <v>693</v>
      </c>
    </row>
    <row r="111" spans="1:27" s="4" customFormat="1" ht="42" customHeight="1">
      <c r="A111" s="5">
        <v>0</v>
      </c>
      <c r="B111" s="6" t="s">
        <v>694</v>
      </c>
      <c r="C111" s="13">
        <v>1370</v>
      </c>
      <c r="D111" s="8" t="s">
        <v>695</v>
      </c>
      <c r="E111" s="8" t="s">
        <v>696</v>
      </c>
      <c r="F111" s="8" t="s">
        <v>697</v>
      </c>
      <c r="G111" s="6" t="s">
        <v>37</v>
      </c>
      <c r="H111" s="6" t="s">
        <v>38</v>
      </c>
      <c r="I111" s="8"/>
      <c r="J111" s="9">
        <v>1</v>
      </c>
      <c r="K111" s="9">
        <v>304</v>
      </c>
      <c r="L111" s="9">
        <v>2023</v>
      </c>
      <c r="M111" s="8" t="s">
        <v>698</v>
      </c>
      <c r="N111" s="8" t="s">
        <v>40</v>
      </c>
      <c r="O111" s="8" t="s">
        <v>41</v>
      </c>
      <c r="P111" s="6" t="s">
        <v>42</v>
      </c>
      <c r="Q111" s="8" t="s">
        <v>43</v>
      </c>
      <c r="R111" s="10" t="s">
        <v>699</v>
      </c>
      <c r="S111" s="11"/>
      <c r="T111" s="6"/>
      <c r="U111" s="28" t="str">
        <f>HYPERLINK("https://media.infra-m.ru/1915/1915326/cover/1915326.jpg", "Обложка")</f>
        <v>Обложка</v>
      </c>
      <c r="V111" s="28" t="str">
        <f>HYPERLINK("https://znanium.com/catalog/product/1915326", "Ознакомиться")</f>
        <v>Ознакомиться</v>
      </c>
      <c r="W111" s="8" t="s">
        <v>700</v>
      </c>
      <c r="X111" s="6"/>
      <c r="Y111" s="6"/>
      <c r="Z111" s="6"/>
      <c r="AA111" s="6" t="s">
        <v>343</v>
      </c>
    </row>
    <row r="112" spans="1:27" s="4" customFormat="1" ht="42" customHeight="1">
      <c r="A112" s="5">
        <v>0</v>
      </c>
      <c r="B112" s="6" t="s">
        <v>701</v>
      </c>
      <c r="C112" s="13">
        <v>1074.9000000000001</v>
      </c>
      <c r="D112" s="8" t="s">
        <v>702</v>
      </c>
      <c r="E112" s="8" t="s">
        <v>703</v>
      </c>
      <c r="F112" s="8" t="s">
        <v>434</v>
      </c>
      <c r="G112" s="6" t="s">
        <v>51</v>
      </c>
      <c r="H112" s="6" t="s">
        <v>38</v>
      </c>
      <c r="I112" s="8" t="s">
        <v>704</v>
      </c>
      <c r="J112" s="9">
        <v>10</v>
      </c>
      <c r="K112" s="9">
        <v>336</v>
      </c>
      <c r="L112" s="9">
        <v>2022</v>
      </c>
      <c r="M112" s="8" t="s">
        <v>705</v>
      </c>
      <c r="N112" s="8" t="s">
        <v>40</v>
      </c>
      <c r="O112" s="8" t="s">
        <v>41</v>
      </c>
      <c r="P112" s="6" t="s">
        <v>141</v>
      </c>
      <c r="Q112" s="8" t="s">
        <v>76</v>
      </c>
      <c r="R112" s="10" t="s">
        <v>436</v>
      </c>
      <c r="S112" s="11"/>
      <c r="T112" s="6"/>
      <c r="U112" s="28" t="str">
        <f>HYPERLINK("https://media.infra-m.ru/1834/1834662/cover/1834662.jpg", "Обложка")</f>
        <v>Обложка</v>
      </c>
      <c r="V112" s="28" t="str">
        <f>HYPERLINK("https://znanium.com/catalog/product/1834662", "Ознакомиться")</f>
        <v>Ознакомиться</v>
      </c>
      <c r="W112" s="8" t="s">
        <v>242</v>
      </c>
      <c r="X112" s="6"/>
      <c r="Y112" s="6"/>
      <c r="Z112" s="6"/>
      <c r="AA112" s="6" t="s">
        <v>706</v>
      </c>
    </row>
    <row r="113" spans="1:27" s="4" customFormat="1" ht="51.95" customHeight="1">
      <c r="A113" s="5">
        <v>0</v>
      </c>
      <c r="B113" s="6" t="s">
        <v>707</v>
      </c>
      <c r="C113" s="7">
        <v>790</v>
      </c>
      <c r="D113" s="8" t="s">
        <v>708</v>
      </c>
      <c r="E113" s="8" t="s">
        <v>709</v>
      </c>
      <c r="F113" s="8" t="s">
        <v>710</v>
      </c>
      <c r="G113" s="6" t="s">
        <v>51</v>
      </c>
      <c r="H113" s="6" t="s">
        <v>38</v>
      </c>
      <c r="I113" s="8"/>
      <c r="J113" s="9">
        <v>1</v>
      </c>
      <c r="K113" s="9">
        <v>176</v>
      </c>
      <c r="L113" s="9">
        <v>2023</v>
      </c>
      <c r="M113" s="8" t="s">
        <v>711</v>
      </c>
      <c r="N113" s="8" t="s">
        <v>40</v>
      </c>
      <c r="O113" s="8" t="s">
        <v>41</v>
      </c>
      <c r="P113" s="6" t="s">
        <v>95</v>
      </c>
      <c r="Q113" s="8" t="s">
        <v>76</v>
      </c>
      <c r="R113" s="10" t="s">
        <v>168</v>
      </c>
      <c r="S113" s="11"/>
      <c r="T113" s="6"/>
      <c r="U113" s="28" t="str">
        <f>HYPERLINK("https://media.infra-m.ru/1915/1915303/cover/1915303.jpg", "Обложка")</f>
        <v>Обложка</v>
      </c>
      <c r="V113" s="28" t="str">
        <f>HYPERLINK("https://znanium.com/catalog/product/1915303", "Ознакомиться")</f>
        <v>Ознакомиться</v>
      </c>
      <c r="W113" s="8" t="s">
        <v>712</v>
      </c>
      <c r="X113" s="6"/>
      <c r="Y113" s="6"/>
      <c r="Z113" s="6"/>
      <c r="AA113" s="6" t="s">
        <v>298</v>
      </c>
    </row>
    <row r="114" spans="1:27" s="4" customFormat="1" ht="44.1" customHeight="1">
      <c r="A114" s="5">
        <v>0</v>
      </c>
      <c r="B114" s="6" t="s">
        <v>713</v>
      </c>
      <c r="C114" s="7">
        <v>664</v>
      </c>
      <c r="D114" s="8" t="s">
        <v>714</v>
      </c>
      <c r="E114" s="8" t="s">
        <v>715</v>
      </c>
      <c r="F114" s="8" t="s">
        <v>716</v>
      </c>
      <c r="G114" s="6" t="s">
        <v>51</v>
      </c>
      <c r="H114" s="6" t="s">
        <v>38</v>
      </c>
      <c r="I114" s="8"/>
      <c r="J114" s="9">
        <v>1</v>
      </c>
      <c r="K114" s="9">
        <v>144</v>
      </c>
      <c r="L114" s="9">
        <v>2024</v>
      </c>
      <c r="M114" s="8" t="s">
        <v>717</v>
      </c>
      <c r="N114" s="8" t="s">
        <v>40</v>
      </c>
      <c r="O114" s="8" t="s">
        <v>41</v>
      </c>
      <c r="P114" s="6" t="s">
        <v>42</v>
      </c>
      <c r="Q114" s="8" t="s">
        <v>43</v>
      </c>
      <c r="R114" s="10" t="s">
        <v>718</v>
      </c>
      <c r="S114" s="11"/>
      <c r="T114" s="6"/>
      <c r="U114" s="28" t="str">
        <f>HYPERLINK("https://media.infra-m.ru/2073/2073495/cover/2073495.jpg", "Обложка")</f>
        <v>Обложка</v>
      </c>
      <c r="V114" s="28" t="str">
        <f>HYPERLINK("https://znanium.com/catalog/product/1216466", "Ознакомиться")</f>
        <v>Ознакомиться</v>
      </c>
      <c r="W114" s="8" t="s">
        <v>78</v>
      </c>
      <c r="X114" s="6"/>
      <c r="Y114" s="6"/>
      <c r="Z114" s="6"/>
      <c r="AA114" s="6" t="s">
        <v>719</v>
      </c>
    </row>
    <row r="115" spans="1:27" s="4" customFormat="1" ht="51.95" customHeight="1">
      <c r="A115" s="5">
        <v>0</v>
      </c>
      <c r="B115" s="6" t="s">
        <v>720</v>
      </c>
      <c r="C115" s="7">
        <v>634.9</v>
      </c>
      <c r="D115" s="8" t="s">
        <v>721</v>
      </c>
      <c r="E115" s="8" t="s">
        <v>722</v>
      </c>
      <c r="F115" s="8" t="s">
        <v>723</v>
      </c>
      <c r="G115" s="6" t="s">
        <v>51</v>
      </c>
      <c r="H115" s="6" t="s">
        <v>52</v>
      </c>
      <c r="I115" s="8" t="s">
        <v>251</v>
      </c>
      <c r="J115" s="9">
        <v>1</v>
      </c>
      <c r="K115" s="9">
        <v>139</v>
      </c>
      <c r="L115" s="9">
        <v>2023</v>
      </c>
      <c r="M115" s="8" t="s">
        <v>724</v>
      </c>
      <c r="N115" s="8" t="s">
        <v>40</v>
      </c>
      <c r="O115" s="8" t="s">
        <v>41</v>
      </c>
      <c r="P115" s="6" t="s">
        <v>42</v>
      </c>
      <c r="Q115" s="8" t="s">
        <v>43</v>
      </c>
      <c r="R115" s="10" t="s">
        <v>725</v>
      </c>
      <c r="S115" s="11"/>
      <c r="T115" s="6"/>
      <c r="U115" s="28" t="str">
        <f>HYPERLINK("https://media.infra-m.ru/2040/2040899/cover/2040899.jpg", "Обложка")</f>
        <v>Обложка</v>
      </c>
      <c r="V115" s="28" t="str">
        <f>HYPERLINK("https://znanium.com/catalog/product/1815480", "Ознакомиться")</f>
        <v>Ознакомиться</v>
      </c>
      <c r="W115" s="8" t="s">
        <v>726</v>
      </c>
      <c r="X115" s="6"/>
      <c r="Y115" s="6"/>
      <c r="Z115" s="6"/>
      <c r="AA115" s="6" t="s">
        <v>727</v>
      </c>
    </row>
    <row r="116" spans="1:27" s="4" customFormat="1" ht="42" customHeight="1">
      <c r="A116" s="5">
        <v>0</v>
      </c>
      <c r="B116" s="6" t="s">
        <v>728</v>
      </c>
      <c r="C116" s="7">
        <v>540</v>
      </c>
      <c r="D116" s="8" t="s">
        <v>729</v>
      </c>
      <c r="E116" s="8" t="s">
        <v>730</v>
      </c>
      <c r="F116" s="8" t="s">
        <v>731</v>
      </c>
      <c r="G116" s="6" t="s">
        <v>51</v>
      </c>
      <c r="H116" s="6" t="s">
        <v>84</v>
      </c>
      <c r="I116" s="8" t="s">
        <v>251</v>
      </c>
      <c r="J116" s="9">
        <v>1</v>
      </c>
      <c r="K116" s="9">
        <v>142</v>
      </c>
      <c r="L116" s="9">
        <v>2022</v>
      </c>
      <c r="M116" s="8" t="s">
        <v>732</v>
      </c>
      <c r="N116" s="8" t="s">
        <v>40</v>
      </c>
      <c r="O116" s="8" t="s">
        <v>41</v>
      </c>
      <c r="P116" s="6" t="s">
        <v>42</v>
      </c>
      <c r="Q116" s="8" t="s">
        <v>43</v>
      </c>
      <c r="R116" s="10" t="s">
        <v>310</v>
      </c>
      <c r="S116" s="11"/>
      <c r="T116" s="6"/>
      <c r="U116" s="28" t="str">
        <f>HYPERLINK("https://media.infra-m.ru/1734/1734820/cover/1734820.jpg", "Обложка")</f>
        <v>Обложка</v>
      </c>
      <c r="V116" s="28" t="str">
        <f>HYPERLINK("https://znanium.com/catalog/product/1734820", "Ознакомиться")</f>
        <v>Ознакомиться</v>
      </c>
      <c r="W116" s="8" t="s">
        <v>733</v>
      </c>
      <c r="X116" s="6"/>
      <c r="Y116" s="6"/>
      <c r="Z116" s="6"/>
      <c r="AA116" s="6" t="s">
        <v>46</v>
      </c>
    </row>
    <row r="117" spans="1:27" s="4" customFormat="1" ht="51.95" customHeight="1">
      <c r="A117" s="5">
        <v>0</v>
      </c>
      <c r="B117" s="6" t="s">
        <v>734</v>
      </c>
      <c r="C117" s="7">
        <v>850</v>
      </c>
      <c r="D117" s="8" t="s">
        <v>735</v>
      </c>
      <c r="E117" s="8" t="s">
        <v>736</v>
      </c>
      <c r="F117" s="8" t="s">
        <v>731</v>
      </c>
      <c r="G117" s="6" t="s">
        <v>37</v>
      </c>
      <c r="H117" s="6" t="s">
        <v>84</v>
      </c>
      <c r="I117" s="8" t="s">
        <v>120</v>
      </c>
      <c r="J117" s="9">
        <v>1</v>
      </c>
      <c r="K117" s="9">
        <v>184</v>
      </c>
      <c r="L117" s="9">
        <v>2024</v>
      </c>
      <c r="M117" s="8" t="s">
        <v>737</v>
      </c>
      <c r="N117" s="8" t="s">
        <v>40</v>
      </c>
      <c r="O117" s="8" t="s">
        <v>41</v>
      </c>
      <c r="P117" s="6" t="s">
        <v>75</v>
      </c>
      <c r="Q117" s="8" t="s">
        <v>76</v>
      </c>
      <c r="R117" s="10" t="s">
        <v>122</v>
      </c>
      <c r="S117" s="11" t="s">
        <v>738</v>
      </c>
      <c r="T117" s="6"/>
      <c r="U117" s="28" t="str">
        <f>HYPERLINK("https://media.infra-m.ru/2102/2102663/cover/2102663.jpg", "Обложка")</f>
        <v>Обложка</v>
      </c>
      <c r="V117" s="28" t="str">
        <f>HYPERLINK("https://znanium.com/catalog/product/2102663", "Ознакомиться")</f>
        <v>Ознакомиться</v>
      </c>
      <c r="W117" s="8" t="s">
        <v>733</v>
      </c>
      <c r="X117" s="6"/>
      <c r="Y117" s="6"/>
      <c r="Z117" s="6"/>
      <c r="AA117" s="6" t="s">
        <v>739</v>
      </c>
    </row>
    <row r="118" spans="1:27" s="4" customFormat="1" ht="42" customHeight="1">
      <c r="A118" s="5">
        <v>0</v>
      </c>
      <c r="B118" s="6" t="s">
        <v>740</v>
      </c>
      <c r="C118" s="13">
        <v>1284</v>
      </c>
      <c r="D118" s="8" t="s">
        <v>741</v>
      </c>
      <c r="E118" s="8" t="s">
        <v>742</v>
      </c>
      <c r="F118" s="8" t="s">
        <v>743</v>
      </c>
      <c r="G118" s="6" t="s">
        <v>51</v>
      </c>
      <c r="H118" s="6" t="s">
        <v>84</v>
      </c>
      <c r="I118" s="8" t="s">
        <v>251</v>
      </c>
      <c r="J118" s="9">
        <v>1</v>
      </c>
      <c r="K118" s="9">
        <v>279</v>
      </c>
      <c r="L118" s="9">
        <v>2024</v>
      </c>
      <c r="M118" s="8" t="s">
        <v>744</v>
      </c>
      <c r="N118" s="8" t="s">
        <v>40</v>
      </c>
      <c r="O118" s="8" t="s">
        <v>41</v>
      </c>
      <c r="P118" s="6" t="s">
        <v>42</v>
      </c>
      <c r="Q118" s="8" t="s">
        <v>43</v>
      </c>
      <c r="R118" s="10" t="s">
        <v>310</v>
      </c>
      <c r="S118" s="11"/>
      <c r="T118" s="6"/>
      <c r="U118" s="28" t="str">
        <f>HYPERLINK("https://media.infra-m.ru/2088/2088774/cover/2088774.jpg", "Обложка")</f>
        <v>Обложка</v>
      </c>
      <c r="V118" s="28" t="str">
        <f>HYPERLINK("https://znanium.com/catalog/product/1893931", "Ознакомиться")</f>
        <v>Ознакомиться</v>
      </c>
      <c r="W118" s="8" t="s">
        <v>712</v>
      </c>
      <c r="X118" s="6"/>
      <c r="Y118" s="6"/>
      <c r="Z118" s="6"/>
      <c r="AA118" s="6" t="s">
        <v>415</v>
      </c>
    </row>
    <row r="119" spans="1:27" s="4" customFormat="1" ht="44.1" customHeight="1">
      <c r="A119" s="5">
        <v>0</v>
      </c>
      <c r="B119" s="6" t="s">
        <v>745</v>
      </c>
      <c r="C119" s="7">
        <v>890</v>
      </c>
      <c r="D119" s="8" t="s">
        <v>746</v>
      </c>
      <c r="E119" s="8" t="s">
        <v>747</v>
      </c>
      <c r="F119" s="8" t="s">
        <v>748</v>
      </c>
      <c r="G119" s="6" t="s">
        <v>58</v>
      </c>
      <c r="H119" s="6" t="s">
        <v>84</v>
      </c>
      <c r="I119" s="8" t="s">
        <v>251</v>
      </c>
      <c r="J119" s="9">
        <v>1</v>
      </c>
      <c r="K119" s="9">
        <v>183</v>
      </c>
      <c r="L119" s="9">
        <v>2022</v>
      </c>
      <c r="M119" s="8" t="s">
        <v>749</v>
      </c>
      <c r="N119" s="8" t="s">
        <v>40</v>
      </c>
      <c r="O119" s="8" t="s">
        <v>41</v>
      </c>
      <c r="P119" s="6" t="s">
        <v>42</v>
      </c>
      <c r="Q119" s="8" t="s">
        <v>43</v>
      </c>
      <c r="R119" s="10" t="s">
        <v>750</v>
      </c>
      <c r="S119" s="11"/>
      <c r="T119" s="6"/>
      <c r="U119" s="28" t="str">
        <f>HYPERLINK("https://media.infra-m.ru/1860/1860938/cover/1860938.jpg", "Обложка")</f>
        <v>Обложка</v>
      </c>
      <c r="V119" s="28" t="str">
        <f>HYPERLINK("https://znanium.com/catalog/product/1860938", "Ознакомиться")</f>
        <v>Ознакомиться</v>
      </c>
      <c r="W119" s="8" t="s">
        <v>751</v>
      </c>
      <c r="X119" s="6"/>
      <c r="Y119" s="6"/>
      <c r="Z119" s="6"/>
      <c r="AA119" s="6" t="s">
        <v>343</v>
      </c>
    </row>
    <row r="120" spans="1:27" s="4" customFormat="1" ht="42" customHeight="1">
      <c r="A120" s="5">
        <v>0</v>
      </c>
      <c r="B120" s="6" t="s">
        <v>752</v>
      </c>
      <c r="C120" s="7">
        <v>560</v>
      </c>
      <c r="D120" s="8" t="s">
        <v>753</v>
      </c>
      <c r="E120" s="8" t="s">
        <v>754</v>
      </c>
      <c r="F120" s="8" t="s">
        <v>755</v>
      </c>
      <c r="G120" s="6" t="s">
        <v>51</v>
      </c>
      <c r="H120" s="6" t="s">
        <v>84</v>
      </c>
      <c r="I120" s="8" t="s">
        <v>251</v>
      </c>
      <c r="J120" s="9">
        <v>1</v>
      </c>
      <c r="K120" s="9">
        <v>135</v>
      </c>
      <c r="L120" s="9">
        <v>2021</v>
      </c>
      <c r="M120" s="8" t="s">
        <v>756</v>
      </c>
      <c r="N120" s="8" t="s">
        <v>40</v>
      </c>
      <c r="O120" s="8" t="s">
        <v>41</v>
      </c>
      <c r="P120" s="6" t="s">
        <v>42</v>
      </c>
      <c r="Q120" s="8" t="s">
        <v>43</v>
      </c>
      <c r="R120" s="10" t="s">
        <v>757</v>
      </c>
      <c r="S120" s="11"/>
      <c r="T120" s="6"/>
      <c r="U120" s="28" t="str">
        <f>HYPERLINK("https://media.infra-m.ru/1084/1084387/cover/1084387.jpg", "Обложка")</f>
        <v>Обложка</v>
      </c>
      <c r="V120" s="28" t="str">
        <f>HYPERLINK("https://znanium.com/catalog/product/1084387", "Ознакомиться")</f>
        <v>Ознакомиться</v>
      </c>
      <c r="W120" s="8" t="s">
        <v>758</v>
      </c>
      <c r="X120" s="6"/>
      <c r="Y120" s="6"/>
      <c r="Z120" s="6"/>
      <c r="AA120" s="6" t="s">
        <v>62</v>
      </c>
    </row>
    <row r="121" spans="1:27" s="4" customFormat="1" ht="51.95" customHeight="1">
      <c r="A121" s="5">
        <v>0</v>
      </c>
      <c r="B121" s="6" t="s">
        <v>759</v>
      </c>
      <c r="C121" s="7">
        <v>614.9</v>
      </c>
      <c r="D121" s="8" t="s">
        <v>760</v>
      </c>
      <c r="E121" s="8" t="s">
        <v>761</v>
      </c>
      <c r="F121" s="8" t="s">
        <v>762</v>
      </c>
      <c r="G121" s="6" t="s">
        <v>51</v>
      </c>
      <c r="H121" s="6" t="s">
        <v>84</v>
      </c>
      <c r="I121" s="8" t="s">
        <v>251</v>
      </c>
      <c r="J121" s="9">
        <v>1</v>
      </c>
      <c r="K121" s="9">
        <v>136</v>
      </c>
      <c r="L121" s="9">
        <v>2023</v>
      </c>
      <c r="M121" s="8" t="s">
        <v>763</v>
      </c>
      <c r="N121" s="8" t="s">
        <v>40</v>
      </c>
      <c r="O121" s="8" t="s">
        <v>41</v>
      </c>
      <c r="P121" s="6" t="s">
        <v>42</v>
      </c>
      <c r="Q121" s="8" t="s">
        <v>43</v>
      </c>
      <c r="R121" s="10" t="s">
        <v>764</v>
      </c>
      <c r="S121" s="11"/>
      <c r="T121" s="6"/>
      <c r="U121" s="28" t="str">
        <f>HYPERLINK("https://media.infra-m.ru/2044/2044349/cover/2044349.jpg", "Обложка")</f>
        <v>Обложка</v>
      </c>
      <c r="V121" s="28" t="str">
        <f>HYPERLINK("https://znanium.com/catalog/product/1020714", "Ознакомиться")</f>
        <v>Ознакомиться</v>
      </c>
      <c r="W121" s="8"/>
      <c r="X121" s="6"/>
      <c r="Y121" s="6"/>
      <c r="Z121" s="6"/>
      <c r="AA121" s="6" t="s">
        <v>289</v>
      </c>
    </row>
    <row r="122" spans="1:27" s="4" customFormat="1" ht="44.1" customHeight="1">
      <c r="A122" s="5">
        <v>0</v>
      </c>
      <c r="B122" s="6" t="s">
        <v>765</v>
      </c>
      <c r="C122" s="7">
        <v>740</v>
      </c>
      <c r="D122" s="8" t="s">
        <v>766</v>
      </c>
      <c r="E122" s="8" t="s">
        <v>767</v>
      </c>
      <c r="F122" s="8" t="s">
        <v>768</v>
      </c>
      <c r="G122" s="6" t="s">
        <v>51</v>
      </c>
      <c r="H122" s="6" t="s">
        <v>84</v>
      </c>
      <c r="I122" s="8" t="s">
        <v>251</v>
      </c>
      <c r="J122" s="9">
        <v>1</v>
      </c>
      <c r="K122" s="9">
        <v>164</v>
      </c>
      <c r="L122" s="9">
        <v>2023</v>
      </c>
      <c r="M122" s="8" t="s">
        <v>769</v>
      </c>
      <c r="N122" s="8" t="s">
        <v>40</v>
      </c>
      <c r="O122" s="8" t="s">
        <v>41</v>
      </c>
      <c r="P122" s="6" t="s">
        <v>42</v>
      </c>
      <c r="Q122" s="8" t="s">
        <v>43</v>
      </c>
      <c r="R122" s="10" t="s">
        <v>718</v>
      </c>
      <c r="S122" s="11"/>
      <c r="T122" s="6"/>
      <c r="U122" s="28" t="str">
        <f>HYPERLINK("https://media.infra-m.ru/1912/1912377/cover/1912377.jpg", "Обложка")</f>
        <v>Обложка</v>
      </c>
      <c r="V122" s="28" t="str">
        <f>HYPERLINK("https://znanium.com/catalog/product/1912377", "Ознакомиться")</f>
        <v>Ознакомиться</v>
      </c>
      <c r="W122" s="8" t="s">
        <v>770</v>
      </c>
      <c r="X122" s="6"/>
      <c r="Y122" s="6"/>
      <c r="Z122" s="6"/>
      <c r="AA122" s="6" t="s">
        <v>622</v>
      </c>
    </row>
    <row r="123" spans="1:27" s="4" customFormat="1" ht="44.1" customHeight="1">
      <c r="A123" s="5">
        <v>0</v>
      </c>
      <c r="B123" s="6" t="s">
        <v>771</v>
      </c>
      <c r="C123" s="7">
        <v>914</v>
      </c>
      <c r="D123" s="8" t="s">
        <v>772</v>
      </c>
      <c r="E123" s="8" t="s">
        <v>773</v>
      </c>
      <c r="F123" s="8" t="s">
        <v>774</v>
      </c>
      <c r="G123" s="6" t="s">
        <v>51</v>
      </c>
      <c r="H123" s="6" t="s">
        <v>38</v>
      </c>
      <c r="I123" s="8"/>
      <c r="J123" s="9">
        <v>1</v>
      </c>
      <c r="K123" s="9">
        <v>224</v>
      </c>
      <c r="L123" s="9">
        <v>2023</v>
      </c>
      <c r="M123" s="8" t="s">
        <v>775</v>
      </c>
      <c r="N123" s="8" t="s">
        <v>40</v>
      </c>
      <c r="O123" s="8" t="s">
        <v>41</v>
      </c>
      <c r="P123" s="6" t="s">
        <v>42</v>
      </c>
      <c r="Q123" s="8" t="s">
        <v>296</v>
      </c>
      <c r="R123" s="10" t="s">
        <v>776</v>
      </c>
      <c r="S123" s="11"/>
      <c r="T123" s="6"/>
      <c r="U123" s="28" t="str">
        <f>HYPERLINK("https://media.infra-m.ru/1993/1993466/cover/1993466.jpg", "Обложка")</f>
        <v>Обложка</v>
      </c>
      <c r="V123" s="28" t="str">
        <f>HYPERLINK("https://znanium.com/catalog/product/1776796", "Ознакомиться")</f>
        <v>Ознакомиться</v>
      </c>
      <c r="W123" s="8" t="s">
        <v>114</v>
      </c>
      <c r="X123" s="6"/>
      <c r="Y123" s="6"/>
      <c r="Z123" s="6"/>
      <c r="AA123" s="6" t="s">
        <v>422</v>
      </c>
    </row>
    <row r="124" spans="1:27" s="4" customFormat="1" ht="44.1" customHeight="1">
      <c r="A124" s="5">
        <v>0</v>
      </c>
      <c r="B124" s="6" t="s">
        <v>777</v>
      </c>
      <c r="C124" s="7">
        <v>944</v>
      </c>
      <c r="D124" s="8" t="s">
        <v>778</v>
      </c>
      <c r="E124" s="8" t="s">
        <v>779</v>
      </c>
      <c r="F124" s="8" t="s">
        <v>780</v>
      </c>
      <c r="G124" s="6" t="s">
        <v>37</v>
      </c>
      <c r="H124" s="6" t="s">
        <v>84</v>
      </c>
      <c r="I124" s="8" t="s">
        <v>251</v>
      </c>
      <c r="J124" s="9">
        <v>1</v>
      </c>
      <c r="K124" s="9">
        <v>208</v>
      </c>
      <c r="L124" s="9">
        <v>2023</v>
      </c>
      <c r="M124" s="8" t="s">
        <v>781</v>
      </c>
      <c r="N124" s="8" t="s">
        <v>40</v>
      </c>
      <c r="O124" s="8" t="s">
        <v>41</v>
      </c>
      <c r="P124" s="6" t="s">
        <v>42</v>
      </c>
      <c r="Q124" s="8" t="s">
        <v>43</v>
      </c>
      <c r="R124" s="10" t="s">
        <v>782</v>
      </c>
      <c r="S124" s="11"/>
      <c r="T124" s="6"/>
      <c r="U124" s="28" t="str">
        <f>HYPERLINK("https://media.infra-m.ru/2006/2006094/cover/2006094.jpg", "Обложка")</f>
        <v>Обложка</v>
      </c>
      <c r="V124" s="28" t="str">
        <f>HYPERLINK("https://znanium.com/catalog/product/1038438", "Ознакомиться")</f>
        <v>Ознакомиться</v>
      </c>
      <c r="W124" s="8" t="s">
        <v>783</v>
      </c>
      <c r="X124" s="6"/>
      <c r="Y124" s="6"/>
      <c r="Z124" s="6"/>
      <c r="AA124" s="6" t="s">
        <v>148</v>
      </c>
    </row>
    <row r="125" spans="1:27" s="4" customFormat="1" ht="51.95" customHeight="1">
      <c r="A125" s="5">
        <v>0</v>
      </c>
      <c r="B125" s="6" t="s">
        <v>784</v>
      </c>
      <c r="C125" s="7">
        <v>724.9</v>
      </c>
      <c r="D125" s="8" t="s">
        <v>785</v>
      </c>
      <c r="E125" s="8" t="s">
        <v>786</v>
      </c>
      <c r="F125" s="8" t="s">
        <v>787</v>
      </c>
      <c r="G125" s="6" t="s">
        <v>37</v>
      </c>
      <c r="H125" s="6" t="s">
        <v>38</v>
      </c>
      <c r="I125" s="8"/>
      <c r="J125" s="9">
        <v>1</v>
      </c>
      <c r="K125" s="9">
        <v>160</v>
      </c>
      <c r="L125" s="9">
        <v>2023</v>
      </c>
      <c r="M125" s="8" t="s">
        <v>788</v>
      </c>
      <c r="N125" s="8" t="s">
        <v>40</v>
      </c>
      <c r="O125" s="8" t="s">
        <v>41</v>
      </c>
      <c r="P125" s="6" t="s">
        <v>42</v>
      </c>
      <c r="Q125" s="8" t="s">
        <v>43</v>
      </c>
      <c r="R125" s="10" t="s">
        <v>77</v>
      </c>
      <c r="S125" s="11"/>
      <c r="T125" s="6"/>
      <c r="U125" s="28" t="str">
        <f>HYPERLINK("https://media.infra-m.ru/2002/2002641/cover/2002641.jpg", "Обложка")</f>
        <v>Обложка</v>
      </c>
      <c r="V125" s="28" t="str">
        <f>HYPERLINK("https://znanium.com/catalog/product/1412355", "Ознакомиться")</f>
        <v>Ознакомиться</v>
      </c>
      <c r="W125" s="8" t="s">
        <v>45</v>
      </c>
      <c r="X125" s="6"/>
      <c r="Y125" s="6"/>
      <c r="Z125" s="6"/>
      <c r="AA125" s="6" t="s">
        <v>148</v>
      </c>
    </row>
    <row r="126" spans="1:27" s="4" customFormat="1" ht="51.95" customHeight="1">
      <c r="A126" s="5">
        <v>0</v>
      </c>
      <c r="B126" s="6" t="s">
        <v>789</v>
      </c>
      <c r="C126" s="7">
        <v>750</v>
      </c>
      <c r="D126" s="8" t="s">
        <v>790</v>
      </c>
      <c r="E126" s="8" t="s">
        <v>791</v>
      </c>
      <c r="F126" s="8" t="s">
        <v>792</v>
      </c>
      <c r="G126" s="6" t="s">
        <v>51</v>
      </c>
      <c r="H126" s="6" t="s">
        <v>84</v>
      </c>
      <c r="I126" s="8" t="s">
        <v>793</v>
      </c>
      <c r="J126" s="9">
        <v>1</v>
      </c>
      <c r="K126" s="9">
        <v>161</v>
      </c>
      <c r="L126" s="9">
        <v>2024</v>
      </c>
      <c r="M126" s="8" t="s">
        <v>794</v>
      </c>
      <c r="N126" s="8" t="s">
        <v>40</v>
      </c>
      <c r="O126" s="8" t="s">
        <v>41</v>
      </c>
      <c r="P126" s="6" t="s">
        <v>42</v>
      </c>
      <c r="Q126" s="8" t="s">
        <v>43</v>
      </c>
      <c r="R126" s="10" t="s">
        <v>795</v>
      </c>
      <c r="S126" s="11"/>
      <c r="T126" s="6"/>
      <c r="U126" s="28" t="str">
        <f>HYPERLINK("https://media.infra-m.ru/2104/2104852/cover/2104852.jpg", "Обложка")</f>
        <v>Обложка</v>
      </c>
      <c r="V126" s="28" t="str">
        <f>HYPERLINK("https://znanium.com/catalog/product/2104852", "Ознакомиться")</f>
        <v>Ознакомиться</v>
      </c>
      <c r="W126" s="8" t="s">
        <v>334</v>
      </c>
      <c r="X126" s="6"/>
      <c r="Y126" s="6"/>
      <c r="Z126" s="6"/>
      <c r="AA126" s="6" t="s">
        <v>79</v>
      </c>
    </row>
    <row r="127" spans="1:27" s="4" customFormat="1" ht="51.95" customHeight="1">
      <c r="A127" s="5">
        <v>0</v>
      </c>
      <c r="B127" s="6" t="s">
        <v>796</v>
      </c>
      <c r="C127" s="7">
        <v>170</v>
      </c>
      <c r="D127" s="8" t="s">
        <v>797</v>
      </c>
      <c r="E127" s="8" t="s">
        <v>798</v>
      </c>
      <c r="F127" s="8" t="s">
        <v>799</v>
      </c>
      <c r="G127" s="6" t="s">
        <v>800</v>
      </c>
      <c r="H127" s="6" t="s">
        <v>84</v>
      </c>
      <c r="I127" s="8" t="s">
        <v>801</v>
      </c>
      <c r="J127" s="9">
        <v>1</v>
      </c>
      <c r="K127" s="9">
        <v>22</v>
      </c>
      <c r="L127" s="9">
        <v>2024</v>
      </c>
      <c r="M127" s="8" t="s">
        <v>802</v>
      </c>
      <c r="N127" s="8" t="s">
        <v>40</v>
      </c>
      <c r="O127" s="8" t="s">
        <v>41</v>
      </c>
      <c r="P127" s="6" t="s">
        <v>803</v>
      </c>
      <c r="Q127" s="8" t="s">
        <v>43</v>
      </c>
      <c r="R127" s="10" t="s">
        <v>804</v>
      </c>
      <c r="S127" s="11"/>
      <c r="T127" s="6" t="s">
        <v>368</v>
      </c>
      <c r="U127" s="28" t="str">
        <f>HYPERLINK("https://media.infra-m.ru/2106/2106215/cover/2106215.jpg", "Обложка")</f>
        <v>Обложка</v>
      </c>
      <c r="V127" s="28" t="str">
        <f>HYPERLINK("https://znanium.com/catalog/product/2106215", "Ознакомиться")</f>
        <v>Ознакомиться</v>
      </c>
      <c r="W127" s="8"/>
      <c r="X127" s="6"/>
      <c r="Y127" s="6"/>
      <c r="Z127" s="6"/>
      <c r="AA127" s="6" t="s">
        <v>88</v>
      </c>
    </row>
    <row r="128" spans="1:27" s="4" customFormat="1" ht="42" customHeight="1">
      <c r="A128" s="5">
        <v>0</v>
      </c>
      <c r="B128" s="6" t="s">
        <v>805</v>
      </c>
      <c r="C128" s="7">
        <v>670</v>
      </c>
      <c r="D128" s="8" t="s">
        <v>806</v>
      </c>
      <c r="E128" s="8" t="s">
        <v>807</v>
      </c>
      <c r="F128" s="8" t="s">
        <v>808</v>
      </c>
      <c r="G128" s="6" t="s">
        <v>51</v>
      </c>
      <c r="H128" s="6" t="s">
        <v>52</v>
      </c>
      <c r="I128" s="8" t="s">
        <v>809</v>
      </c>
      <c r="J128" s="9">
        <v>1</v>
      </c>
      <c r="K128" s="9">
        <v>142</v>
      </c>
      <c r="L128" s="9">
        <v>2023</v>
      </c>
      <c r="M128" s="8" t="s">
        <v>810</v>
      </c>
      <c r="N128" s="8" t="s">
        <v>40</v>
      </c>
      <c r="O128" s="8" t="s">
        <v>41</v>
      </c>
      <c r="P128" s="6" t="s">
        <v>811</v>
      </c>
      <c r="Q128" s="8" t="s">
        <v>43</v>
      </c>
      <c r="R128" s="10" t="s">
        <v>812</v>
      </c>
      <c r="S128" s="11"/>
      <c r="T128" s="6"/>
      <c r="U128" s="28" t="str">
        <f>HYPERLINK("https://media.infra-m.ru/2075/2075179/cover/2075179.jpg", "Обложка")</f>
        <v>Обложка</v>
      </c>
      <c r="V128" s="28" t="str">
        <f>HYPERLINK("https://znanium.com/catalog/product/1064168", "Ознакомиться")</f>
        <v>Ознакомиться</v>
      </c>
      <c r="W128" s="8" t="s">
        <v>813</v>
      </c>
      <c r="X128" s="6"/>
      <c r="Y128" s="6"/>
      <c r="Z128" s="6"/>
      <c r="AA128" s="6" t="s">
        <v>814</v>
      </c>
    </row>
    <row r="129" spans="1:27" s="4" customFormat="1" ht="42" customHeight="1">
      <c r="A129" s="5">
        <v>0</v>
      </c>
      <c r="B129" s="6" t="s">
        <v>815</v>
      </c>
      <c r="C129" s="7">
        <v>514.9</v>
      </c>
      <c r="D129" s="8" t="s">
        <v>816</v>
      </c>
      <c r="E129" s="8" t="s">
        <v>817</v>
      </c>
      <c r="F129" s="8" t="s">
        <v>818</v>
      </c>
      <c r="G129" s="6" t="s">
        <v>51</v>
      </c>
      <c r="H129" s="6" t="s">
        <v>52</v>
      </c>
      <c r="I129" s="8" t="s">
        <v>809</v>
      </c>
      <c r="J129" s="9">
        <v>24</v>
      </c>
      <c r="K129" s="9">
        <v>146</v>
      </c>
      <c r="L129" s="9">
        <v>2020</v>
      </c>
      <c r="M129" s="8" t="s">
        <v>819</v>
      </c>
      <c r="N129" s="8" t="s">
        <v>40</v>
      </c>
      <c r="O129" s="8" t="s">
        <v>41</v>
      </c>
      <c r="P129" s="6" t="s">
        <v>811</v>
      </c>
      <c r="Q129" s="8" t="s">
        <v>43</v>
      </c>
      <c r="R129" s="10" t="s">
        <v>812</v>
      </c>
      <c r="S129" s="11"/>
      <c r="T129" s="6"/>
      <c r="U129" s="28" t="str">
        <f>HYPERLINK("https://media.infra-m.ru/1064/1064168/cover/1064168.jpg", "Обложка")</f>
        <v>Обложка</v>
      </c>
      <c r="V129" s="28" t="str">
        <f>HYPERLINK("https://znanium.com/catalog/product/1064168", "Ознакомиться")</f>
        <v>Ознакомиться</v>
      </c>
      <c r="W129" s="8"/>
      <c r="X129" s="6"/>
      <c r="Y129" s="6"/>
      <c r="Z129" s="6"/>
      <c r="AA129" s="6" t="s">
        <v>820</v>
      </c>
    </row>
    <row r="130" spans="1:27" s="4" customFormat="1" ht="44.1" customHeight="1">
      <c r="A130" s="5">
        <v>0</v>
      </c>
      <c r="B130" s="6" t="s">
        <v>821</v>
      </c>
      <c r="C130" s="7">
        <v>954</v>
      </c>
      <c r="D130" s="8" t="s">
        <v>822</v>
      </c>
      <c r="E130" s="8" t="s">
        <v>823</v>
      </c>
      <c r="F130" s="8" t="s">
        <v>824</v>
      </c>
      <c r="G130" s="6" t="s">
        <v>51</v>
      </c>
      <c r="H130" s="6" t="s">
        <v>38</v>
      </c>
      <c r="I130" s="8"/>
      <c r="J130" s="9">
        <v>1</v>
      </c>
      <c r="K130" s="9">
        <v>208</v>
      </c>
      <c r="L130" s="9">
        <v>2023</v>
      </c>
      <c r="M130" s="8" t="s">
        <v>825</v>
      </c>
      <c r="N130" s="8" t="s">
        <v>40</v>
      </c>
      <c r="O130" s="8" t="s">
        <v>41</v>
      </c>
      <c r="P130" s="6" t="s">
        <v>42</v>
      </c>
      <c r="Q130" s="8" t="s">
        <v>296</v>
      </c>
      <c r="R130" s="10" t="s">
        <v>310</v>
      </c>
      <c r="S130" s="11"/>
      <c r="T130" s="6"/>
      <c r="U130" s="28" t="str">
        <f>HYPERLINK("https://media.infra-m.ru/1938/1938038/cover/1938038.jpg", "Обложка")</f>
        <v>Обложка</v>
      </c>
      <c r="V130" s="28" t="str">
        <f>HYPERLINK("https://znanium.com/catalog/product/1850644", "Ознакомиться")</f>
        <v>Ознакомиться</v>
      </c>
      <c r="W130" s="8" t="s">
        <v>826</v>
      </c>
      <c r="X130" s="6"/>
      <c r="Y130" s="6"/>
      <c r="Z130" s="6"/>
      <c r="AA130" s="6" t="s">
        <v>289</v>
      </c>
    </row>
    <row r="131" spans="1:27" s="4" customFormat="1" ht="51.95" customHeight="1">
      <c r="A131" s="5">
        <v>0</v>
      </c>
      <c r="B131" s="6" t="s">
        <v>827</v>
      </c>
      <c r="C131" s="7">
        <v>580</v>
      </c>
      <c r="D131" s="8" t="s">
        <v>828</v>
      </c>
      <c r="E131" s="8" t="s">
        <v>829</v>
      </c>
      <c r="F131" s="8" t="s">
        <v>616</v>
      </c>
      <c r="G131" s="6" t="s">
        <v>51</v>
      </c>
      <c r="H131" s="6" t="s">
        <v>84</v>
      </c>
      <c r="I131" s="8" t="s">
        <v>251</v>
      </c>
      <c r="J131" s="9">
        <v>1</v>
      </c>
      <c r="K131" s="9">
        <v>184</v>
      </c>
      <c r="L131" s="9">
        <v>2018</v>
      </c>
      <c r="M131" s="8" t="s">
        <v>830</v>
      </c>
      <c r="N131" s="8" t="s">
        <v>40</v>
      </c>
      <c r="O131" s="8" t="s">
        <v>41</v>
      </c>
      <c r="P131" s="6" t="s">
        <v>42</v>
      </c>
      <c r="Q131" s="8" t="s">
        <v>43</v>
      </c>
      <c r="R131" s="10" t="s">
        <v>831</v>
      </c>
      <c r="S131" s="11"/>
      <c r="T131" s="6"/>
      <c r="U131" s="28" t="str">
        <f>HYPERLINK("https://media.infra-m.ru/0944/0944384/cover/944384.jpg", "Обложка")</f>
        <v>Обложка</v>
      </c>
      <c r="V131" s="28" t="str">
        <f>HYPERLINK("https://znanium.com/catalog/product/1843574", "Ознакомиться")</f>
        <v>Ознакомиться</v>
      </c>
      <c r="W131" s="8" t="s">
        <v>621</v>
      </c>
      <c r="X131" s="6"/>
      <c r="Y131" s="6"/>
      <c r="Z131" s="6"/>
      <c r="AA131" s="6" t="s">
        <v>415</v>
      </c>
    </row>
    <row r="132" spans="1:27" s="4" customFormat="1" ht="51.95" customHeight="1">
      <c r="A132" s="5">
        <v>0</v>
      </c>
      <c r="B132" s="6" t="s">
        <v>832</v>
      </c>
      <c r="C132" s="7">
        <v>984.9</v>
      </c>
      <c r="D132" s="8" t="s">
        <v>833</v>
      </c>
      <c r="E132" s="8" t="s">
        <v>834</v>
      </c>
      <c r="F132" s="8" t="s">
        <v>616</v>
      </c>
      <c r="G132" s="6" t="s">
        <v>58</v>
      </c>
      <c r="H132" s="6" t="s">
        <v>84</v>
      </c>
      <c r="I132" s="8" t="s">
        <v>251</v>
      </c>
      <c r="J132" s="9">
        <v>1</v>
      </c>
      <c r="K132" s="9">
        <v>253</v>
      </c>
      <c r="L132" s="9">
        <v>2022</v>
      </c>
      <c r="M132" s="8" t="s">
        <v>835</v>
      </c>
      <c r="N132" s="8" t="s">
        <v>40</v>
      </c>
      <c r="O132" s="8" t="s">
        <v>41</v>
      </c>
      <c r="P132" s="6" t="s">
        <v>42</v>
      </c>
      <c r="Q132" s="8" t="s">
        <v>43</v>
      </c>
      <c r="R132" s="10" t="s">
        <v>831</v>
      </c>
      <c r="S132" s="11"/>
      <c r="T132" s="6"/>
      <c r="U132" s="28" t="str">
        <f>HYPERLINK("https://media.infra-m.ru/1843/1843574/cover/1843574.jpg", "Обложка")</f>
        <v>Обложка</v>
      </c>
      <c r="V132" s="28" t="str">
        <f>HYPERLINK("https://znanium.com/catalog/product/1843574", "Ознакомиться")</f>
        <v>Ознакомиться</v>
      </c>
      <c r="W132" s="8" t="s">
        <v>621</v>
      </c>
      <c r="X132" s="6"/>
      <c r="Y132" s="6"/>
      <c r="Z132" s="6"/>
      <c r="AA132" s="6" t="s">
        <v>836</v>
      </c>
    </row>
    <row r="133" spans="1:27" s="4" customFormat="1" ht="42" customHeight="1">
      <c r="A133" s="5">
        <v>0</v>
      </c>
      <c r="B133" s="6" t="s">
        <v>837</v>
      </c>
      <c r="C133" s="13">
        <v>1204.9000000000001</v>
      </c>
      <c r="D133" s="8" t="s">
        <v>838</v>
      </c>
      <c r="E133" s="8" t="s">
        <v>839</v>
      </c>
      <c r="F133" s="8" t="s">
        <v>840</v>
      </c>
      <c r="G133" s="6" t="s">
        <v>58</v>
      </c>
      <c r="H133" s="6" t="s">
        <v>38</v>
      </c>
      <c r="I133" s="8"/>
      <c r="J133" s="9">
        <v>1</v>
      </c>
      <c r="K133" s="9">
        <v>288</v>
      </c>
      <c r="L133" s="9">
        <v>2022</v>
      </c>
      <c r="M133" s="8" t="s">
        <v>841</v>
      </c>
      <c r="N133" s="8" t="s">
        <v>40</v>
      </c>
      <c r="O133" s="8" t="s">
        <v>41</v>
      </c>
      <c r="P133" s="6" t="s">
        <v>75</v>
      </c>
      <c r="Q133" s="8" t="s">
        <v>76</v>
      </c>
      <c r="R133" s="10" t="s">
        <v>87</v>
      </c>
      <c r="S133" s="11"/>
      <c r="T133" s="6"/>
      <c r="U133" s="28" t="str">
        <f>HYPERLINK("https://media.infra-m.ru/1876/1876359/cover/1876359.jpg", "Обложка")</f>
        <v>Обложка</v>
      </c>
      <c r="V133" s="28" t="str">
        <f>HYPERLINK("https://znanium.com/catalog/product/1221169", "Ознакомиться")</f>
        <v>Ознакомиться</v>
      </c>
      <c r="W133" s="8" t="s">
        <v>726</v>
      </c>
      <c r="X133" s="6"/>
      <c r="Y133" s="6"/>
      <c r="Z133" s="6"/>
      <c r="AA133" s="6" t="s">
        <v>289</v>
      </c>
    </row>
    <row r="134" spans="1:27" s="4" customFormat="1" ht="51.95" customHeight="1">
      <c r="A134" s="5">
        <v>0</v>
      </c>
      <c r="B134" s="6" t="s">
        <v>842</v>
      </c>
      <c r="C134" s="13">
        <v>2700</v>
      </c>
      <c r="D134" s="8" t="s">
        <v>843</v>
      </c>
      <c r="E134" s="8" t="s">
        <v>844</v>
      </c>
      <c r="F134" s="8" t="s">
        <v>845</v>
      </c>
      <c r="G134" s="6" t="s">
        <v>58</v>
      </c>
      <c r="H134" s="6" t="s">
        <v>38</v>
      </c>
      <c r="I134" s="8"/>
      <c r="J134" s="9">
        <v>1</v>
      </c>
      <c r="K134" s="9">
        <v>816</v>
      </c>
      <c r="L134" s="9">
        <v>2024</v>
      </c>
      <c r="M134" s="8" t="s">
        <v>846</v>
      </c>
      <c r="N134" s="8" t="s">
        <v>40</v>
      </c>
      <c r="O134" s="8" t="s">
        <v>41</v>
      </c>
      <c r="P134" s="6" t="s">
        <v>95</v>
      </c>
      <c r="Q134" s="8" t="s">
        <v>76</v>
      </c>
      <c r="R134" s="10" t="s">
        <v>168</v>
      </c>
      <c r="S134" s="11" t="s">
        <v>847</v>
      </c>
      <c r="T134" s="6"/>
      <c r="U134" s="28" t="str">
        <f>HYPERLINK("https://media.infra-m.ru/2114/2114311/cover/2114311.jpg", "Обложка")</f>
        <v>Обложка</v>
      </c>
      <c r="V134" s="28" t="str">
        <f>HYPERLINK("https://znanium.com/catalog/product/2114311", "Ознакомиться")</f>
        <v>Ознакомиться</v>
      </c>
      <c r="W134" s="8" t="s">
        <v>78</v>
      </c>
      <c r="X134" s="6"/>
      <c r="Y134" s="6"/>
      <c r="Z134" s="6"/>
      <c r="AA134" s="6" t="s">
        <v>848</v>
      </c>
    </row>
    <row r="135" spans="1:27" s="4" customFormat="1" ht="51.95" customHeight="1">
      <c r="A135" s="5">
        <v>0</v>
      </c>
      <c r="B135" s="6" t="s">
        <v>849</v>
      </c>
      <c r="C135" s="13">
        <v>1350</v>
      </c>
      <c r="D135" s="8" t="s">
        <v>850</v>
      </c>
      <c r="E135" s="8" t="s">
        <v>851</v>
      </c>
      <c r="F135" s="8" t="s">
        <v>852</v>
      </c>
      <c r="G135" s="6" t="s">
        <v>37</v>
      </c>
      <c r="H135" s="6" t="s">
        <v>400</v>
      </c>
      <c r="I135" s="8"/>
      <c r="J135" s="9">
        <v>1</v>
      </c>
      <c r="K135" s="9">
        <v>384</v>
      </c>
      <c r="L135" s="9">
        <v>2020</v>
      </c>
      <c r="M135" s="8" t="s">
        <v>853</v>
      </c>
      <c r="N135" s="8" t="s">
        <v>40</v>
      </c>
      <c r="O135" s="8" t="s">
        <v>41</v>
      </c>
      <c r="P135" s="6" t="s">
        <v>42</v>
      </c>
      <c r="Q135" s="8" t="s">
        <v>43</v>
      </c>
      <c r="R135" s="10" t="s">
        <v>854</v>
      </c>
      <c r="S135" s="11"/>
      <c r="T135" s="6"/>
      <c r="U135" s="28" t="str">
        <f>HYPERLINK("https://media.infra-m.ru/1080/1080391/cover/1080391.jpg", "Обложка")</f>
        <v>Обложка</v>
      </c>
      <c r="V135" s="28" t="str">
        <f>HYPERLINK("https://znanium.com/catalog/product/1080391", "Ознакомиться")</f>
        <v>Ознакомиться</v>
      </c>
      <c r="W135" s="8" t="s">
        <v>686</v>
      </c>
      <c r="X135" s="6"/>
      <c r="Y135" s="6"/>
      <c r="Z135" s="6"/>
      <c r="AA135" s="6" t="s">
        <v>855</v>
      </c>
    </row>
    <row r="136" spans="1:27" s="4" customFormat="1" ht="44.1" customHeight="1">
      <c r="A136" s="5">
        <v>0</v>
      </c>
      <c r="B136" s="6" t="s">
        <v>856</v>
      </c>
      <c r="C136" s="7">
        <v>874.9</v>
      </c>
      <c r="D136" s="8" t="s">
        <v>857</v>
      </c>
      <c r="E136" s="8" t="s">
        <v>858</v>
      </c>
      <c r="F136" s="8" t="s">
        <v>859</v>
      </c>
      <c r="G136" s="6" t="s">
        <v>58</v>
      </c>
      <c r="H136" s="6" t="s">
        <v>38</v>
      </c>
      <c r="I136" s="8"/>
      <c r="J136" s="9">
        <v>1</v>
      </c>
      <c r="K136" s="9">
        <v>256</v>
      </c>
      <c r="L136" s="9">
        <v>2019</v>
      </c>
      <c r="M136" s="8" t="s">
        <v>860</v>
      </c>
      <c r="N136" s="8" t="s">
        <v>40</v>
      </c>
      <c r="O136" s="8" t="s">
        <v>41</v>
      </c>
      <c r="P136" s="6" t="s">
        <v>42</v>
      </c>
      <c r="Q136" s="8" t="s">
        <v>43</v>
      </c>
      <c r="R136" s="10" t="s">
        <v>69</v>
      </c>
      <c r="S136" s="11"/>
      <c r="T136" s="6"/>
      <c r="U136" s="28" t="str">
        <f>HYPERLINK("https://media.infra-m.ru/1002/1002720/cover/1002720.jpg", "Обложка")</f>
        <v>Обложка</v>
      </c>
      <c r="V136" s="12"/>
      <c r="W136" s="8" t="s">
        <v>45</v>
      </c>
      <c r="X136" s="6"/>
      <c r="Y136" s="6"/>
      <c r="Z136" s="6"/>
      <c r="AA136" s="6" t="s">
        <v>622</v>
      </c>
    </row>
    <row r="137" spans="1:27" s="4" customFormat="1" ht="44.1" customHeight="1">
      <c r="A137" s="5">
        <v>0</v>
      </c>
      <c r="B137" s="6" t="s">
        <v>861</v>
      </c>
      <c r="C137" s="7">
        <v>760</v>
      </c>
      <c r="D137" s="8" t="s">
        <v>862</v>
      </c>
      <c r="E137" s="8" t="s">
        <v>863</v>
      </c>
      <c r="F137" s="8" t="s">
        <v>864</v>
      </c>
      <c r="G137" s="6" t="s">
        <v>37</v>
      </c>
      <c r="H137" s="6" t="s">
        <v>38</v>
      </c>
      <c r="I137" s="8"/>
      <c r="J137" s="9">
        <v>1</v>
      </c>
      <c r="K137" s="9">
        <v>168</v>
      </c>
      <c r="L137" s="9">
        <v>2023</v>
      </c>
      <c r="M137" s="8" t="s">
        <v>865</v>
      </c>
      <c r="N137" s="8" t="s">
        <v>40</v>
      </c>
      <c r="O137" s="8" t="s">
        <v>41</v>
      </c>
      <c r="P137" s="6" t="s">
        <v>42</v>
      </c>
      <c r="Q137" s="8" t="s">
        <v>43</v>
      </c>
      <c r="R137" s="10" t="s">
        <v>866</v>
      </c>
      <c r="S137" s="11"/>
      <c r="T137" s="6"/>
      <c r="U137" s="28" t="str">
        <f>HYPERLINK("https://media.infra-m.ru/2043/2043226/cover/2043226.jpg", "Обложка")</f>
        <v>Обложка</v>
      </c>
      <c r="V137" s="28" t="str">
        <f>HYPERLINK("https://znanium.com/catalog/product/2043226", "Ознакомиться")</f>
        <v>Ознакомиться</v>
      </c>
      <c r="W137" s="8" t="s">
        <v>78</v>
      </c>
      <c r="X137" s="6"/>
      <c r="Y137" s="6"/>
      <c r="Z137" s="6"/>
      <c r="AA137" s="6" t="s">
        <v>62</v>
      </c>
    </row>
    <row r="138" spans="1:27" s="4" customFormat="1" ht="51.95" customHeight="1">
      <c r="A138" s="5">
        <v>0</v>
      </c>
      <c r="B138" s="6" t="s">
        <v>867</v>
      </c>
      <c r="C138" s="13">
        <v>1330</v>
      </c>
      <c r="D138" s="8" t="s">
        <v>868</v>
      </c>
      <c r="E138" s="8" t="s">
        <v>869</v>
      </c>
      <c r="F138" s="8" t="s">
        <v>870</v>
      </c>
      <c r="G138" s="6" t="s">
        <v>37</v>
      </c>
      <c r="H138" s="6" t="s">
        <v>38</v>
      </c>
      <c r="I138" s="8"/>
      <c r="J138" s="9">
        <v>1</v>
      </c>
      <c r="K138" s="9">
        <v>288</v>
      </c>
      <c r="L138" s="9">
        <v>2024</v>
      </c>
      <c r="M138" s="8" t="s">
        <v>871</v>
      </c>
      <c r="N138" s="8" t="s">
        <v>40</v>
      </c>
      <c r="O138" s="8" t="s">
        <v>41</v>
      </c>
      <c r="P138" s="6" t="s">
        <v>95</v>
      </c>
      <c r="Q138" s="8" t="s">
        <v>76</v>
      </c>
      <c r="R138" s="10" t="s">
        <v>168</v>
      </c>
      <c r="S138" s="11" t="s">
        <v>872</v>
      </c>
      <c r="T138" s="6"/>
      <c r="U138" s="28" t="str">
        <f>HYPERLINK("https://media.infra-m.ru/2120/2120740/cover/2120740.jpg", "Обложка")</f>
        <v>Обложка</v>
      </c>
      <c r="V138" s="28" t="str">
        <f>HYPERLINK("https://znanium.com/catalog/product/2120740", "Ознакомиться")</f>
        <v>Ознакомиться</v>
      </c>
      <c r="W138" s="8" t="s">
        <v>114</v>
      </c>
      <c r="X138" s="6"/>
      <c r="Y138" s="6"/>
      <c r="Z138" s="6"/>
      <c r="AA138" s="6" t="s">
        <v>422</v>
      </c>
    </row>
    <row r="139" spans="1:27" s="4" customFormat="1" ht="51.95" customHeight="1">
      <c r="A139" s="5">
        <v>0</v>
      </c>
      <c r="B139" s="6" t="s">
        <v>873</v>
      </c>
      <c r="C139" s="13">
        <v>1990</v>
      </c>
      <c r="D139" s="8" t="s">
        <v>874</v>
      </c>
      <c r="E139" s="8" t="s">
        <v>875</v>
      </c>
      <c r="F139" s="8" t="s">
        <v>876</v>
      </c>
      <c r="G139" s="6" t="s">
        <v>58</v>
      </c>
      <c r="H139" s="6" t="s">
        <v>84</v>
      </c>
      <c r="I139" s="8" t="s">
        <v>251</v>
      </c>
      <c r="J139" s="9">
        <v>1</v>
      </c>
      <c r="K139" s="9">
        <v>435</v>
      </c>
      <c r="L139" s="9">
        <v>2024</v>
      </c>
      <c r="M139" s="8" t="s">
        <v>877</v>
      </c>
      <c r="N139" s="8" t="s">
        <v>40</v>
      </c>
      <c r="O139" s="8" t="s">
        <v>41</v>
      </c>
      <c r="P139" s="6" t="s">
        <v>42</v>
      </c>
      <c r="Q139" s="8" t="s">
        <v>43</v>
      </c>
      <c r="R139" s="10" t="s">
        <v>878</v>
      </c>
      <c r="S139" s="11"/>
      <c r="T139" s="6"/>
      <c r="U139" s="28" t="str">
        <f>HYPERLINK("https://media.infra-m.ru/1891/1891876/cover/1891876.jpg", "Обложка")</f>
        <v>Обложка</v>
      </c>
      <c r="V139" s="28" t="str">
        <f>HYPERLINK("https://znanium.com/catalog/product/1891876", "Ознакомиться")</f>
        <v>Ознакомиться</v>
      </c>
      <c r="W139" s="8" t="s">
        <v>503</v>
      </c>
      <c r="X139" s="6" t="s">
        <v>381</v>
      </c>
      <c r="Y139" s="6"/>
      <c r="Z139" s="6"/>
      <c r="AA139" s="6" t="s">
        <v>100</v>
      </c>
    </row>
    <row r="140" spans="1:27" s="4" customFormat="1" ht="51.95" customHeight="1">
      <c r="A140" s="5">
        <v>0</v>
      </c>
      <c r="B140" s="6" t="s">
        <v>879</v>
      </c>
      <c r="C140" s="13">
        <v>1760</v>
      </c>
      <c r="D140" s="8" t="s">
        <v>880</v>
      </c>
      <c r="E140" s="8" t="s">
        <v>881</v>
      </c>
      <c r="F140" s="8" t="s">
        <v>882</v>
      </c>
      <c r="G140" s="6" t="s">
        <v>58</v>
      </c>
      <c r="H140" s="6" t="s">
        <v>52</v>
      </c>
      <c r="I140" s="8"/>
      <c r="J140" s="9">
        <v>1</v>
      </c>
      <c r="K140" s="9">
        <v>391</v>
      </c>
      <c r="L140" s="9">
        <v>2023</v>
      </c>
      <c r="M140" s="8" t="s">
        <v>883</v>
      </c>
      <c r="N140" s="8" t="s">
        <v>40</v>
      </c>
      <c r="O140" s="8" t="s">
        <v>41</v>
      </c>
      <c r="P140" s="6" t="s">
        <v>42</v>
      </c>
      <c r="Q140" s="8" t="s">
        <v>43</v>
      </c>
      <c r="R140" s="10" t="s">
        <v>473</v>
      </c>
      <c r="S140" s="11"/>
      <c r="T140" s="6"/>
      <c r="U140" s="28" t="str">
        <f>HYPERLINK("https://media.infra-m.ru/1913/1913777/cover/1913777.jpg", "Обложка")</f>
        <v>Обложка</v>
      </c>
      <c r="V140" s="12"/>
      <c r="W140" s="8" t="s">
        <v>884</v>
      </c>
      <c r="X140" s="6" t="s">
        <v>407</v>
      </c>
      <c r="Y140" s="6"/>
      <c r="Z140" s="6"/>
      <c r="AA140" s="6" t="s">
        <v>408</v>
      </c>
    </row>
    <row r="141" spans="1:27" s="4" customFormat="1" ht="51.95" customHeight="1">
      <c r="A141" s="5">
        <v>0</v>
      </c>
      <c r="B141" s="6" t="s">
        <v>885</v>
      </c>
      <c r="C141" s="7">
        <v>990</v>
      </c>
      <c r="D141" s="8" t="s">
        <v>886</v>
      </c>
      <c r="E141" s="8" t="s">
        <v>887</v>
      </c>
      <c r="F141" s="8" t="s">
        <v>888</v>
      </c>
      <c r="G141" s="6" t="s">
        <v>37</v>
      </c>
      <c r="H141" s="6" t="s">
        <v>38</v>
      </c>
      <c r="I141" s="8"/>
      <c r="J141" s="9">
        <v>1</v>
      </c>
      <c r="K141" s="9">
        <v>220</v>
      </c>
      <c r="L141" s="9">
        <v>2023</v>
      </c>
      <c r="M141" s="8" t="s">
        <v>889</v>
      </c>
      <c r="N141" s="8" t="s">
        <v>40</v>
      </c>
      <c r="O141" s="8" t="s">
        <v>41</v>
      </c>
      <c r="P141" s="6" t="s">
        <v>75</v>
      </c>
      <c r="Q141" s="8" t="s">
        <v>157</v>
      </c>
      <c r="R141" s="10" t="s">
        <v>60</v>
      </c>
      <c r="S141" s="11"/>
      <c r="T141" s="6"/>
      <c r="U141" s="28" t="str">
        <f>HYPERLINK("https://media.infra-m.ru/1970/1970289/cover/1970289.jpg", "Обложка")</f>
        <v>Обложка</v>
      </c>
      <c r="V141" s="28" t="str">
        <f>HYPERLINK("https://znanium.com/catalog/product/1855483", "Ознакомиться")</f>
        <v>Ознакомиться</v>
      </c>
      <c r="W141" s="8" t="s">
        <v>114</v>
      </c>
      <c r="X141" s="6"/>
      <c r="Y141" s="6"/>
      <c r="Z141" s="6"/>
      <c r="AA141" s="6" t="s">
        <v>890</v>
      </c>
    </row>
    <row r="142" spans="1:27" s="4" customFormat="1" ht="44.1" customHeight="1">
      <c r="A142" s="5">
        <v>0</v>
      </c>
      <c r="B142" s="6" t="s">
        <v>891</v>
      </c>
      <c r="C142" s="7">
        <v>584</v>
      </c>
      <c r="D142" s="8" t="s">
        <v>892</v>
      </c>
      <c r="E142" s="8" t="s">
        <v>893</v>
      </c>
      <c r="F142" s="8" t="s">
        <v>894</v>
      </c>
      <c r="G142" s="6" t="s">
        <v>51</v>
      </c>
      <c r="H142" s="6" t="s">
        <v>38</v>
      </c>
      <c r="I142" s="8"/>
      <c r="J142" s="9">
        <v>1</v>
      </c>
      <c r="K142" s="9">
        <v>128</v>
      </c>
      <c r="L142" s="9">
        <v>2024</v>
      </c>
      <c r="M142" s="8" t="s">
        <v>895</v>
      </c>
      <c r="N142" s="8" t="s">
        <v>40</v>
      </c>
      <c r="O142" s="8" t="s">
        <v>41</v>
      </c>
      <c r="P142" s="6" t="s">
        <v>42</v>
      </c>
      <c r="Q142" s="8" t="s">
        <v>296</v>
      </c>
      <c r="R142" s="10" t="s">
        <v>896</v>
      </c>
      <c r="S142" s="11"/>
      <c r="T142" s="6"/>
      <c r="U142" s="12"/>
      <c r="V142" s="28" t="str">
        <f>HYPERLINK("https://znanium.com/catalog/product/1174547", "Ознакомиться")</f>
        <v>Ознакомиться</v>
      </c>
      <c r="W142" s="8" t="s">
        <v>897</v>
      </c>
      <c r="X142" s="6"/>
      <c r="Y142" s="6"/>
      <c r="Z142" s="6"/>
      <c r="AA142" s="6" t="s">
        <v>298</v>
      </c>
    </row>
    <row r="143" spans="1:27" s="4" customFormat="1" ht="42" customHeight="1">
      <c r="A143" s="5">
        <v>0</v>
      </c>
      <c r="B143" s="6" t="s">
        <v>898</v>
      </c>
      <c r="C143" s="7">
        <v>690</v>
      </c>
      <c r="D143" s="8" t="s">
        <v>899</v>
      </c>
      <c r="E143" s="8" t="s">
        <v>900</v>
      </c>
      <c r="F143" s="8" t="s">
        <v>901</v>
      </c>
      <c r="G143" s="6" t="s">
        <v>58</v>
      </c>
      <c r="H143" s="6" t="s">
        <v>84</v>
      </c>
      <c r="I143" s="8" t="s">
        <v>251</v>
      </c>
      <c r="J143" s="9">
        <v>1</v>
      </c>
      <c r="K143" s="9">
        <v>139</v>
      </c>
      <c r="L143" s="9">
        <v>2023</v>
      </c>
      <c r="M143" s="8" t="s">
        <v>902</v>
      </c>
      <c r="N143" s="8" t="s">
        <v>40</v>
      </c>
      <c r="O143" s="8" t="s">
        <v>41</v>
      </c>
      <c r="P143" s="6" t="s">
        <v>42</v>
      </c>
      <c r="Q143" s="8" t="s">
        <v>43</v>
      </c>
      <c r="R143" s="10" t="s">
        <v>69</v>
      </c>
      <c r="S143" s="11"/>
      <c r="T143" s="6"/>
      <c r="U143" s="28" t="str">
        <f>HYPERLINK("https://media.infra-m.ru/1902/1902740/cover/1902740.jpg", "Обложка")</f>
        <v>Обложка</v>
      </c>
      <c r="V143" s="28" t="str">
        <f>HYPERLINK("https://znanium.com/catalog/product/2121217", "Ознакомиться")</f>
        <v>Ознакомиться</v>
      </c>
      <c r="W143" s="8" t="s">
        <v>903</v>
      </c>
      <c r="X143" s="6" t="s">
        <v>904</v>
      </c>
      <c r="Y143" s="6"/>
      <c r="Z143" s="6"/>
      <c r="AA143" s="6" t="s">
        <v>408</v>
      </c>
    </row>
    <row r="144" spans="1:27" s="4" customFormat="1" ht="51.95" customHeight="1">
      <c r="A144" s="5">
        <v>0</v>
      </c>
      <c r="B144" s="6" t="s">
        <v>905</v>
      </c>
      <c r="C144" s="13">
        <v>1238</v>
      </c>
      <c r="D144" s="8" t="s">
        <v>906</v>
      </c>
      <c r="E144" s="8" t="s">
        <v>907</v>
      </c>
      <c r="F144" s="8" t="s">
        <v>908</v>
      </c>
      <c r="G144" s="6" t="s">
        <v>58</v>
      </c>
      <c r="H144" s="6" t="s">
        <v>38</v>
      </c>
      <c r="I144" s="8"/>
      <c r="J144" s="9">
        <v>1</v>
      </c>
      <c r="K144" s="9">
        <v>192</v>
      </c>
      <c r="L144" s="9">
        <v>2021</v>
      </c>
      <c r="M144" s="8" t="s">
        <v>909</v>
      </c>
      <c r="N144" s="8" t="s">
        <v>40</v>
      </c>
      <c r="O144" s="8" t="s">
        <v>41</v>
      </c>
      <c r="P144" s="6" t="s">
        <v>910</v>
      </c>
      <c r="Q144" s="8" t="s">
        <v>43</v>
      </c>
      <c r="R144" s="10" t="s">
        <v>584</v>
      </c>
      <c r="S144" s="11"/>
      <c r="T144" s="6"/>
      <c r="U144" s="28" t="str">
        <f>HYPERLINK("https://media.infra-m.ru/1861/1861573/cover/1861573.jpg", "Обложка")</f>
        <v>Обложка</v>
      </c>
      <c r="V144" s="28" t="str">
        <f>HYPERLINK("https://znanium.com/catalog/product/1391094", "Ознакомиться")</f>
        <v>Ознакомиться</v>
      </c>
      <c r="W144" s="8"/>
      <c r="X144" s="6"/>
      <c r="Y144" s="6"/>
      <c r="Z144" s="6"/>
      <c r="AA144" s="6" t="s">
        <v>320</v>
      </c>
    </row>
    <row r="145" spans="1:27" s="4" customFormat="1" ht="51.95" customHeight="1">
      <c r="A145" s="5">
        <v>0</v>
      </c>
      <c r="B145" s="6" t="s">
        <v>911</v>
      </c>
      <c r="C145" s="7">
        <v>580</v>
      </c>
      <c r="D145" s="8" t="s">
        <v>912</v>
      </c>
      <c r="E145" s="8" t="s">
        <v>913</v>
      </c>
      <c r="F145" s="8" t="s">
        <v>914</v>
      </c>
      <c r="G145" s="6" t="s">
        <v>51</v>
      </c>
      <c r="H145" s="6" t="s">
        <v>38</v>
      </c>
      <c r="I145" s="8"/>
      <c r="J145" s="9">
        <v>1</v>
      </c>
      <c r="K145" s="9">
        <v>128</v>
      </c>
      <c r="L145" s="9">
        <v>2023</v>
      </c>
      <c r="M145" s="8" t="s">
        <v>915</v>
      </c>
      <c r="N145" s="8" t="s">
        <v>40</v>
      </c>
      <c r="O145" s="8" t="s">
        <v>41</v>
      </c>
      <c r="P145" s="6" t="s">
        <v>75</v>
      </c>
      <c r="Q145" s="8" t="s">
        <v>76</v>
      </c>
      <c r="R145" s="10" t="s">
        <v>916</v>
      </c>
      <c r="S145" s="11"/>
      <c r="T145" s="6"/>
      <c r="U145" s="28" t="str">
        <f>HYPERLINK("https://media.infra-m.ru/1938/1938039/cover/1938039.jpg", "Обложка")</f>
        <v>Обложка</v>
      </c>
      <c r="V145" s="28" t="str">
        <f>HYPERLINK("https://znanium.com/catalog/product/1938039", "Ознакомиться")</f>
        <v>Ознакомиться</v>
      </c>
      <c r="W145" s="8" t="s">
        <v>917</v>
      </c>
      <c r="X145" s="6"/>
      <c r="Y145" s="6"/>
      <c r="Z145" s="6"/>
      <c r="AA145" s="6" t="s">
        <v>298</v>
      </c>
    </row>
    <row r="146" spans="1:27" s="4" customFormat="1" ht="51.95" customHeight="1">
      <c r="A146" s="5">
        <v>0</v>
      </c>
      <c r="B146" s="6" t="s">
        <v>918</v>
      </c>
      <c r="C146" s="13">
        <v>1550</v>
      </c>
      <c r="D146" s="8" t="s">
        <v>919</v>
      </c>
      <c r="E146" s="8" t="s">
        <v>920</v>
      </c>
      <c r="F146" s="8" t="s">
        <v>921</v>
      </c>
      <c r="G146" s="6" t="s">
        <v>58</v>
      </c>
      <c r="H146" s="6" t="s">
        <v>84</v>
      </c>
      <c r="I146" s="8" t="s">
        <v>316</v>
      </c>
      <c r="J146" s="9">
        <v>1</v>
      </c>
      <c r="K146" s="9">
        <v>332</v>
      </c>
      <c r="L146" s="9">
        <v>2023</v>
      </c>
      <c r="M146" s="8" t="s">
        <v>922</v>
      </c>
      <c r="N146" s="8" t="s">
        <v>40</v>
      </c>
      <c r="O146" s="8" t="s">
        <v>41</v>
      </c>
      <c r="P146" s="6" t="s">
        <v>95</v>
      </c>
      <c r="Q146" s="8" t="s">
        <v>157</v>
      </c>
      <c r="R146" s="10" t="s">
        <v>923</v>
      </c>
      <c r="S146" s="11" t="s">
        <v>924</v>
      </c>
      <c r="T146" s="6"/>
      <c r="U146" s="28" t="str">
        <f>HYPERLINK("https://media.infra-m.ru/1192/1192104/cover/1192104.jpg", "Обложка")</f>
        <v>Обложка</v>
      </c>
      <c r="V146" s="28" t="str">
        <f>HYPERLINK("https://znanium.com/catalog/product/1192104", "Ознакомиться")</f>
        <v>Ознакомиться</v>
      </c>
      <c r="W146" s="8" t="s">
        <v>925</v>
      </c>
      <c r="X146" s="6"/>
      <c r="Y146" s="6"/>
      <c r="Z146" s="6"/>
      <c r="AA146" s="6" t="s">
        <v>408</v>
      </c>
    </row>
    <row r="147" spans="1:27" s="4" customFormat="1" ht="51.95" customHeight="1">
      <c r="A147" s="5">
        <v>0</v>
      </c>
      <c r="B147" s="6" t="s">
        <v>926</v>
      </c>
      <c r="C147" s="13">
        <v>1330</v>
      </c>
      <c r="D147" s="8" t="s">
        <v>927</v>
      </c>
      <c r="E147" s="8" t="s">
        <v>928</v>
      </c>
      <c r="F147" s="8" t="s">
        <v>929</v>
      </c>
      <c r="G147" s="6" t="s">
        <v>37</v>
      </c>
      <c r="H147" s="6" t="s">
        <v>38</v>
      </c>
      <c r="I147" s="8"/>
      <c r="J147" s="9">
        <v>1</v>
      </c>
      <c r="K147" s="9">
        <v>288</v>
      </c>
      <c r="L147" s="9">
        <v>2024</v>
      </c>
      <c r="M147" s="8" t="s">
        <v>930</v>
      </c>
      <c r="N147" s="8" t="s">
        <v>40</v>
      </c>
      <c r="O147" s="8" t="s">
        <v>41</v>
      </c>
      <c r="P147" s="6" t="s">
        <v>42</v>
      </c>
      <c r="Q147" s="8" t="s">
        <v>43</v>
      </c>
      <c r="R147" s="10" t="s">
        <v>931</v>
      </c>
      <c r="S147" s="11"/>
      <c r="T147" s="6"/>
      <c r="U147" s="28" t="str">
        <f>HYPERLINK("https://media.infra-m.ru/2122/2122057/cover/2122057.jpg", "Обложка")</f>
        <v>Обложка</v>
      </c>
      <c r="V147" s="28" t="str">
        <f>HYPERLINK("https://znanium.com/catalog/product/2122057", "Ознакомиться")</f>
        <v>Ознакомиться</v>
      </c>
      <c r="W147" s="8" t="s">
        <v>124</v>
      </c>
      <c r="X147" s="6"/>
      <c r="Y147" s="6"/>
      <c r="Z147" s="6"/>
      <c r="AA147" s="6" t="s">
        <v>408</v>
      </c>
    </row>
    <row r="148" spans="1:27" s="4" customFormat="1" ht="42" customHeight="1">
      <c r="A148" s="5">
        <v>0</v>
      </c>
      <c r="B148" s="6" t="s">
        <v>932</v>
      </c>
      <c r="C148" s="7">
        <v>974</v>
      </c>
      <c r="D148" s="8" t="s">
        <v>933</v>
      </c>
      <c r="E148" s="8" t="s">
        <v>934</v>
      </c>
      <c r="F148" s="8" t="s">
        <v>935</v>
      </c>
      <c r="G148" s="6" t="s">
        <v>51</v>
      </c>
      <c r="H148" s="6" t="s">
        <v>38</v>
      </c>
      <c r="I148" s="8"/>
      <c r="J148" s="9">
        <v>1</v>
      </c>
      <c r="K148" s="9">
        <v>240</v>
      </c>
      <c r="L148" s="9">
        <v>2023</v>
      </c>
      <c r="M148" s="8" t="s">
        <v>936</v>
      </c>
      <c r="N148" s="8" t="s">
        <v>40</v>
      </c>
      <c r="O148" s="8" t="s">
        <v>41</v>
      </c>
      <c r="P148" s="6" t="s">
        <v>42</v>
      </c>
      <c r="Q148" s="8" t="s">
        <v>76</v>
      </c>
      <c r="R148" s="10" t="s">
        <v>937</v>
      </c>
      <c r="S148" s="11"/>
      <c r="T148" s="6"/>
      <c r="U148" s="28" t="str">
        <f>HYPERLINK("https://media.infra-m.ru/2041/2041701/cover/2041701.jpg", "Обложка")</f>
        <v>Обложка</v>
      </c>
      <c r="V148" s="28" t="str">
        <f>HYPERLINK("https://znanium.com/catalog/product/1860994", "Ознакомиться")</f>
        <v>Ознакомиться</v>
      </c>
      <c r="W148" s="8" t="s">
        <v>78</v>
      </c>
      <c r="X148" s="6"/>
      <c r="Y148" s="6"/>
      <c r="Z148" s="6"/>
      <c r="AA148" s="6" t="s">
        <v>327</v>
      </c>
    </row>
    <row r="149" spans="1:27" s="4" customFormat="1" ht="51.95" customHeight="1">
      <c r="A149" s="5">
        <v>0</v>
      </c>
      <c r="B149" s="6" t="s">
        <v>938</v>
      </c>
      <c r="C149" s="7">
        <v>790</v>
      </c>
      <c r="D149" s="8" t="s">
        <v>939</v>
      </c>
      <c r="E149" s="8" t="s">
        <v>940</v>
      </c>
      <c r="F149" s="8" t="s">
        <v>941</v>
      </c>
      <c r="G149" s="6" t="s">
        <v>51</v>
      </c>
      <c r="H149" s="6" t="s">
        <v>84</v>
      </c>
      <c r="I149" s="8" t="s">
        <v>85</v>
      </c>
      <c r="J149" s="9">
        <v>1</v>
      </c>
      <c r="K149" s="9">
        <v>168</v>
      </c>
      <c r="L149" s="9">
        <v>2023</v>
      </c>
      <c r="M149" s="8" t="s">
        <v>942</v>
      </c>
      <c r="N149" s="8" t="s">
        <v>40</v>
      </c>
      <c r="O149" s="8" t="s">
        <v>41</v>
      </c>
      <c r="P149" s="6" t="s">
        <v>943</v>
      </c>
      <c r="Q149" s="8" t="s">
        <v>43</v>
      </c>
      <c r="R149" s="10" t="s">
        <v>944</v>
      </c>
      <c r="S149" s="11"/>
      <c r="T149" s="6"/>
      <c r="U149" s="28" t="str">
        <f>HYPERLINK("https://media.infra-m.ru/2039/2039149/cover/2039149.jpg", "Обложка")</f>
        <v>Обложка</v>
      </c>
      <c r="V149" s="28" t="str">
        <f>HYPERLINK("https://znanium.com/catalog/product/2039149", "Ознакомиться")</f>
        <v>Ознакомиться</v>
      </c>
      <c r="W149" s="8" t="s">
        <v>535</v>
      </c>
      <c r="X149" s="6"/>
      <c r="Y149" s="6"/>
      <c r="Z149" s="6"/>
      <c r="AA149" s="6" t="s">
        <v>88</v>
      </c>
    </row>
    <row r="150" spans="1:27" s="4" customFormat="1" ht="51.95" customHeight="1">
      <c r="A150" s="5">
        <v>0</v>
      </c>
      <c r="B150" s="6" t="s">
        <v>945</v>
      </c>
      <c r="C150" s="13">
        <v>1210</v>
      </c>
      <c r="D150" s="8" t="s">
        <v>946</v>
      </c>
      <c r="E150" s="8" t="s">
        <v>947</v>
      </c>
      <c r="F150" s="8" t="s">
        <v>948</v>
      </c>
      <c r="G150" s="6" t="s">
        <v>37</v>
      </c>
      <c r="H150" s="6" t="s">
        <v>84</v>
      </c>
      <c r="I150" s="8" t="s">
        <v>120</v>
      </c>
      <c r="J150" s="9">
        <v>1</v>
      </c>
      <c r="K150" s="9">
        <v>268</v>
      </c>
      <c r="L150" s="9">
        <v>2023</v>
      </c>
      <c r="M150" s="8" t="s">
        <v>949</v>
      </c>
      <c r="N150" s="8" t="s">
        <v>40</v>
      </c>
      <c r="O150" s="8" t="s">
        <v>41</v>
      </c>
      <c r="P150" s="6" t="s">
        <v>95</v>
      </c>
      <c r="Q150" s="8" t="s">
        <v>76</v>
      </c>
      <c r="R150" s="10" t="s">
        <v>77</v>
      </c>
      <c r="S150" s="11" t="s">
        <v>628</v>
      </c>
      <c r="T150" s="6"/>
      <c r="U150" s="28" t="str">
        <f>HYPERLINK("https://media.infra-m.ru/2002/2002646/cover/2002646.jpg", "Обложка")</f>
        <v>Обложка</v>
      </c>
      <c r="V150" s="28" t="str">
        <f>HYPERLINK("https://znanium.com/catalog/product/2002646", "Ознакомиться")</f>
        <v>Ознакомиться</v>
      </c>
      <c r="W150" s="8" t="s">
        <v>158</v>
      </c>
      <c r="X150" s="6"/>
      <c r="Y150" s="6"/>
      <c r="Z150" s="6"/>
      <c r="AA150" s="6" t="s">
        <v>148</v>
      </c>
    </row>
    <row r="151" spans="1:27" s="4" customFormat="1" ht="51.95" customHeight="1">
      <c r="A151" s="5">
        <v>0</v>
      </c>
      <c r="B151" s="6" t="s">
        <v>950</v>
      </c>
      <c r="C151" s="7">
        <v>770</v>
      </c>
      <c r="D151" s="8" t="s">
        <v>951</v>
      </c>
      <c r="E151" s="8" t="s">
        <v>952</v>
      </c>
      <c r="F151" s="8" t="s">
        <v>876</v>
      </c>
      <c r="G151" s="6" t="s">
        <v>51</v>
      </c>
      <c r="H151" s="6" t="s">
        <v>84</v>
      </c>
      <c r="I151" s="8" t="s">
        <v>251</v>
      </c>
      <c r="J151" s="9">
        <v>1</v>
      </c>
      <c r="K151" s="9">
        <v>176</v>
      </c>
      <c r="L151" s="9">
        <v>2022</v>
      </c>
      <c r="M151" s="8" t="s">
        <v>953</v>
      </c>
      <c r="N151" s="8" t="s">
        <v>40</v>
      </c>
      <c r="O151" s="8" t="s">
        <v>41</v>
      </c>
      <c r="P151" s="6" t="s">
        <v>42</v>
      </c>
      <c r="Q151" s="8" t="s">
        <v>43</v>
      </c>
      <c r="R151" s="10" t="s">
        <v>954</v>
      </c>
      <c r="S151" s="11"/>
      <c r="T151" s="6"/>
      <c r="U151" s="28" t="str">
        <f>HYPERLINK("https://media.infra-m.ru/1844/1844179/cover/1844179.jpg", "Обложка")</f>
        <v>Обложка</v>
      </c>
      <c r="V151" s="28" t="str">
        <f>HYPERLINK("https://znanium.com/catalog/product/1844179", "Ознакомиться")</f>
        <v>Ознакомиться</v>
      </c>
      <c r="W151" s="8" t="s">
        <v>503</v>
      </c>
      <c r="X151" s="6"/>
      <c r="Y151" s="6"/>
      <c r="Z151" s="6"/>
      <c r="AA151" s="6" t="s">
        <v>343</v>
      </c>
    </row>
    <row r="152" spans="1:27" s="4" customFormat="1" ht="44.1" customHeight="1">
      <c r="A152" s="5">
        <v>0</v>
      </c>
      <c r="B152" s="6" t="s">
        <v>955</v>
      </c>
      <c r="C152" s="7">
        <v>844</v>
      </c>
      <c r="D152" s="8" t="s">
        <v>956</v>
      </c>
      <c r="E152" s="8" t="s">
        <v>957</v>
      </c>
      <c r="F152" s="8" t="s">
        <v>958</v>
      </c>
      <c r="G152" s="6" t="s">
        <v>58</v>
      </c>
      <c r="H152" s="6" t="s">
        <v>38</v>
      </c>
      <c r="I152" s="8"/>
      <c r="J152" s="9">
        <v>1</v>
      </c>
      <c r="K152" s="9">
        <v>192</v>
      </c>
      <c r="L152" s="9">
        <v>2024</v>
      </c>
      <c r="M152" s="8" t="s">
        <v>959</v>
      </c>
      <c r="N152" s="8" t="s">
        <v>40</v>
      </c>
      <c r="O152" s="8" t="s">
        <v>41</v>
      </c>
      <c r="P152" s="6" t="s">
        <v>42</v>
      </c>
      <c r="Q152" s="8" t="s">
        <v>296</v>
      </c>
      <c r="R152" s="10" t="s">
        <v>310</v>
      </c>
      <c r="S152" s="11"/>
      <c r="T152" s="6"/>
      <c r="U152" s="28" t="str">
        <f>HYPERLINK("https://media.infra-m.ru/1892/1892268/cover/1892268.jpg", "Обложка")</f>
        <v>Обложка</v>
      </c>
      <c r="V152" s="28" t="str">
        <f>HYPERLINK("https://znanium.com/catalog/product/1850141", "Ознакомиться")</f>
        <v>Ознакомиться</v>
      </c>
      <c r="W152" s="8" t="s">
        <v>78</v>
      </c>
      <c r="X152" s="6"/>
      <c r="Y152" s="6"/>
      <c r="Z152" s="6"/>
      <c r="AA152" s="6" t="s">
        <v>422</v>
      </c>
    </row>
    <row r="153" spans="1:27" s="4" customFormat="1" ht="51.95" customHeight="1">
      <c r="A153" s="5">
        <v>0</v>
      </c>
      <c r="B153" s="6" t="s">
        <v>960</v>
      </c>
      <c r="C153" s="7">
        <v>904.9</v>
      </c>
      <c r="D153" s="8" t="s">
        <v>961</v>
      </c>
      <c r="E153" s="8" t="s">
        <v>962</v>
      </c>
      <c r="F153" s="8" t="s">
        <v>963</v>
      </c>
      <c r="G153" s="6" t="s">
        <v>58</v>
      </c>
      <c r="H153" s="6" t="s">
        <v>84</v>
      </c>
      <c r="I153" s="8" t="s">
        <v>251</v>
      </c>
      <c r="J153" s="9">
        <v>1</v>
      </c>
      <c r="K153" s="9">
        <v>200</v>
      </c>
      <c r="L153" s="9">
        <v>2023</v>
      </c>
      <c r="M153" s="8" t="s">
        <v>964</v>
      </c>
      <c r="N153" s="8" t="s">
        <v>40</v>
      </c>
      <c r="O153" s="8" t="s">
        <v>41</v>
      </c>
      <c r="P153" s="6" t="s">
        <v>42</v>
      </c>
      <c r="Q153" s="8" t="s">
        <v>43</v>
      </c>
      <c r="R153" s="10" t="s">
        <v>965</v>
      </c>
      <c r="S153" s="11"/>
      <c r="T153" s="6"/>
      <c r="U153" s="28" t="str">
        <f>HYPERLINK("https://media.infra-m.ru/2045/2045845/cover/2045845.jpg", "Обложка")</f>
        <v>Обложка</v>
      </c>
      <c r="V153" s="28" t="str">
        <f>HYPERLINK("https://znanium.com/catalog/product/1035216", "Ознакомиться")</f>
        <v>Ознакомиться</v>
      </c>
      <c r="W153" s="8" t="s">
        <v>503</v>
      </c>
      <c r="X153" s="6"/>
      <c r="Y153" s="6"/>
      <c r="Z153" s="6"/>
      <c r="AA153" s="6" t="s">
        <v>115</v>
      </c>
    </row>
    <row r="154" spans="1:27" s="4" customFormat="1" ht="44.1" customHeight="1">
      <c r="A154" s="5">
        <v>0</v>
      </c>
      <c r="B154" s="6" t="s">
        <v>966</v>
      </c>
      <c r="C154" s="7">
        <v>324.89999999999998</v>
      </c>
      <c r="D154" s="8" t="s">
        <v>967</v>
      </c>
      <c r="E154" s="8" t="s">
        <v>968</v>
      </c>
      <c r="F154" s="8" t="s">
        <v>969</v>
      </c>
      <c r="G154" s="6" t="s">
        <v>51</v>
      </c>
      <c r="H154" s="6" t="s">
        <v>52</v>
      </c>
      <c r="I154" s="8" t="s">
        <v>251</v>
      </c>
      <c r="J154" s="9">
        <v>1</v>
      </c>
      <c r="K154" s="9">
        <v>99</v>
      </c>
      <c r="L154" s="9">
        <v>2018</v>
      </c>
      <c r="M154" s="8" t="s">
        <v>970</v>
      </c>
      <c r="N154" s="8" t="s">
        <v>40</v>
      </c>
      <c r="O154" s="8" t="s">
        <v>41</v>
      </c>
      <c r="P154" s="6" t="s">
        <v>42</v>
      </c>
      <c r="Q154" s="8" t="s">
        <v>296</v>
      </c>
      <c r="R154" s="10" t="s">
        <v>937</v>
      </c>
      <c r="S154" s="11"/>
      <c r="T154" s="6"/>
      <c r="U154" s="28" t="str">
        <f>HYPERLINK("https://media.infra-m.ru/0966/0966070/cover/966070.jpg", "Обложка")</f>
        <v>Обложка</v>
      </c>
      <c r="V154" s="28" t="str">
        <f>HYPERLINK("https://znanium.com/catalog/product/966070", "Ознакомиться")</f>
        <v>Ознакомиться</v>
      </c>
      <c r="W154" s="8" t="s">
        <v>971</v>
      </c>
      <c r="X154" s="6"/>
      <c r="Y154" s="6"/>
      <c r="Z154" s="6"/>
      <c r="AA154" s="6" t="s">
        <v>524</v>
      </c>
    </row>
    <row r="155" spans="1:27" s="4" customFormat="1" ht="51.95" customHeight="1">
      <c r="A155" s="5">
        <v>0</v>
      </c>
      <c r="B155" s="6" t="s">
        <v>972</v>
      </c>
      <c r="C155" s="13">
        <v>1989.9</v>
      </c>
      <c r="D155" s="8" t="s">
        <v>973</v>
      </c>
      <c r="E155" s="8" t="s">
        <v>974</v>
      </c>
      <c r="F155" s="8" t="s">
        <v>975</v>
      </c>
      <c r="G155" s="6" t="s">
        <v>37</v>
      </c>
      <c r="H155" s="6" t="s">
        <v>38</v>
      </c>
      <c r="I155" s="8"/>
      <c r="J155" s="9">
        <v>1</v>
      </c>
      <c r="K155" s="9">
        <v>448</v>
      </c>
      <c r="L155" s="9">
        <v>2023</v>
      </c>
      <c r="M155" s="8" t="s">
        <v>976</v>
      </c>
      <c r="N155" s="8" t="s">
        <v>40</v>
      </c>
      <c r="O155" s="8" t="s">
        <v>41</v>
      </c>
      <c r="P155" s="6" t="s">
        <v>75</v>
      </c>
      <c r="Q155" s="8" t="s">
        <v>76</v>
      </c>
      <c r="R155" s="10" t="s">
        <v>207</v>
      </c>
      <c r="S155" s="11"/>
      <c r="T155" s="6"/>
      <c r="U155" s="28" t="str">
        <f>HYPERLINK("https://media.infra-m.ru/1923/1923194/cover/1923194.jpg", "Обложка")</f>
        <v>Обложка</v>
      </c>
      <c r="V155" s="28" t="str">
        <f>HYPERLINK("https://znanium.com/catalog/product/1923194", "Ознакомиться")</f>
        <v>Ознакомиться</v>
      </c>
      <c r="W155" s="8" t="s">
        <v>242</v>
      </c>
      <c r="X155" s="6" t="s">
        <v>904</v>
      </c>
      <c r="Y155" s="6"/>
      <c r="Z155" s="6"/>
      <c r="AA155" s="6" t="s">
        <v>137</v>
      </c>
    </row>
    <row r="156" spans="1:27" s="4" customFormat="1" ht="51.95" customHeight="1">
      <c r="A156" s="5">
        <v>0</v>
      </c>
      <c r="B156" s="6" t="s">
        <v>977</v>
      </c>
      <c r="C156" s="7">
        <v>709.9</v>
      </c>
      <c r="D156" s="8" t="s">
        <v>978</v>
      </c>
      <c r="E156" s="8" t="s">
        <v>979</v>
      </c>
      <c r="F156" s="8" t="s">
        <v>975</v>
      </c>
      <c r="G156" s="6" t="s">
        <v>58</v>
      </c>
      <c r="H156" s="6" t="s">
        <v>38</v>
      </c>
      <c r="I156" s="8"/>
      <c r="J156" s="9">
        <v>20</v>
      </c>
      <c r="K156" s="9">
        <v>240</v>
      </c>
      <c r="L156" s="9">
        <v>2018</v>
      </c>
      <c r="M156" s="8" t="s">
        <v>980</v>
      </c>
      <c r="N156" s="8" t="s">
        <v>40</v>
      </c>
      <c r="O156" s="8" t="s">
        <v>41</v>
      </c>
      <c r="P156" s="6" t="s">
        <v>75</v>
      </c>
      <c r="Q156" s="8" t="s">
        <v>76</v>
      </c>
      <c r="R156" s="10" t="s">
        <v>207</v>
      </c>
      <c r="S156" s="11"/>
      <c r="T156" s="6"/>
      <c r="U156" s="28" t="str">
        <f>HYPERLINK("https://media.infra-m.ru/0945/0945328/cover/945328.jpg", "Обложка")</f>
        <v>Обложка</v>
      </c>
      <c r="V156" s="28" t="str">
        <f>HYPERLINK("https://znanium.com/catalog/product/1923194", "Ознакомиться")</f>
        <v>Ознакомиться</v>
      </c>
      <c r="W156" s="8" t="s">
        <v>242</v>
      </c>
      <c r="X156" s="6"/>
      <c r="Y156" s="6"/>
      <c r="Z156" s="6"/>
      <c r="AA156" s="6" t="s">
        <v>298</v>
      </c>
    </row>
    <row r="157" spans="1:27" s="4" customFormat="1" ht="51.95" customHeight="1">
      <c r="A157" s="5">
        <v>0</v>
      </c>
      <c r="B157" s="6" t="s">
        <v>981</v>
      </c>
      <c r="C157" s="7">
        <v>874</v>
      </c>
      <c r="D157" s="8" t="s">
        <v>982</v>
      </c>
      <c r="E157" s="8" t="s">
        <v>983</v>
      </c>
      <c r="F157" s="8" t="s">
        <v>984</v>
      </c>
      <c r="G157" s="6" t="s">
        <v>37</v>
      </c>
      <c r="H157" s="6" t="s">
        <v>84</v>
      </c>
      <c r="I157" s="8" t="s">
        <v>251</v>
      </c>
      <c r="J157" s="9">
        <v>1</v>
      </c>
      <c r="K157" s="9">
        <v>190</v>
      </c>
      <c r="L157" s="9">
        <v>2024</v>
      </c>
      <c r="M157" s="8" t="s">
        <v>985</v>
      </c>
      <c r="N157" s="8" t="s">
        <v>40</v>
      </c>
      <c r="O157" s="8" t="s">
        <v>41</v>
      </c>
      <c r="P157" s="6" t="s">
        <v>42</v>
      </c>
      <c r="Q157" s="8" t="s">
        <v>43</v>
      </c>
      <c r="R157" s="10" t="s">
        <v>986</v>
      </c>
      <c r="S157" s="11"/>
      <c r="T157" s="6"/>
      <c r="U157" s="28" t="str">
        <f>HYPERLINK("https://media.infra-m.ru/2018/2018252/cover/2018252.jpg", "Обложка")</f>
        <v>Обложка</v>
      </c>
      <c r="V157" s="28" t="str">
        <f>HYPERLINK("https://znanium.com/catalog/product/1048182", "Ознакомиться")</f>
        <v>Ознакомиться</v>
      </c>
      <c r="W157" s="8" t="s">
        <v>987</v>
      </c>
      <c r="X157" s="6"/>
      <c r="Y157" s="6"/>
      <c r="Z157" s="6"/>
      <c r="AA157" s="6" t="s">
        <v>46</v>
      </c>
    </row>
    <row r="158" spans="1:27" s="4" customFormat="1" ht="51.95" customHeight="1">
      <c r="A158" s="5">
        <v>0</v>
      </c>
      <c r="B158" s="6" t="s">
        <v>988</v>
      </c>
      <c r="C158" s="13">
        <v>1420</v>
      </c>
      <c r="D158" s="8" t="s">
        <v>989</v>
      </c>
      <c r="E158" s="8" t="s">
        <v>990</v>
      </c>
      <c r="F158" s="8" t="s">
        <v>991</v>
      </c>
      <c r="G158" s="6" t="s">
        <v>37</v>
      </c>
      <c r="H158" s="6" t="s">
        <v>400</v>
      </c>
      <c r="I158" s="8"/>
      <c r="J158" s="9">
        <v>1</v>
      </c>
      <c r="K158" s="9">
        <v>316</v>
      </c>
      <c r="L158" s="9">
        <v>2023</v>
      </c>
      <c r="M158" s="8" t="s">
        <v>992</v>
      </c>
      <c r="N158" s="8" t="s">
        <v>40</v>
      </c>
      <c r="O158" s="8" t="s">
        <v>41</v>
      </c>
      <c r="P158" s="6" t="s">
        <v>42</v>
      </c>
      <c r="Q158" s="8" t="s">
        <v>43</v>
      </c>
      <c r="R158" s="10" t="s">
        <v>993</v>
      </c>
      <c r="S158" s="11"/>
      <c r="T158" s="6"/>
      <c r="U158" s="28" t="str">
        <f>HYPERLINK("https://media.infra-m.ru/1937/1937183/cover/1937183.jpg", "Обложка")</f>
        <v>Обложка</v>
      </c>
      <c r="V158" s="28" t="str">
        <f>HYPERLINK("https://znanium.com/catalog/product/1937183", "Ознакомиться")</f>
        <v>Ознакомиться</v>
      </c>
      <c r="W158" s="8" t="s">
        <v>414</v>
      </c>
      <c r="X158" s="6"/>
      <c r="Y158" s="6"/>
      <c r="Z158" s="6"/>
      <c r="AA158" s="6" t="s">
        <v>148</v>
      </c>
    </row>
    <row r="159" spans="1:27" s="4" customFormat="1" ht="44.1" customHeight="1">
      <c r="A159" s="5">
        <v>0</v>
      </c>
      <c r="B159" s="6" t="s">
        <v>994</v>
      </c>
      <c r="C159" s="7">
        <v>820</v>
      </c>
      <c r="D159" s="8" t="s">
        <v>995</v>
      </c>
      <c r="E159" s="8" t="s">
        <v>996</v>
      </c>
      <c r="F159" s="8" t="s">
        <v>997</v>
      </c>
      <c r="G159" s="6" t="s">
        <v>51</v>
      </c>
      <c r="H159" s="6" t="s">
        <v>84</v>
      </c>
      <c r="I159" s="8" t="s">
        <v>998</v>
      </c>
      <c r="J159" s="9">
        <v>1</v>
      </c>
      <c r="K159" s="9">
        <v>181</v>
      </c>
      <c r="L159" s="9">
        <v>2023</v>
      </c>
      <c r="M159" s="8" t="s">
        <v>999</v>
      </c>
      <c r="N159" s="8" t="s">
        <v>40</v>
      </c>
      <c r="O159" s="8" t="s">
        <v>41</v>
      </c>
      <c r="P159" s="6" t="s">
        <v>42</v>
      </c>
      <c r="Q159" s="8" t="s">
        <v>43</v>
      </c>
      <c r="R159" s="10" t="s">
        <v>1000</v>
      </c>
      <c r="S159" s="11"/>
      <c r="T159" s="6"/>
      <c r="U159" s="28" t="str">
        <f>HYPERLINK("https://media.infra-m.ru/2023/2023957/cover/2023957.jpg", "Обложка")</f>
        <v>Обложка</v>
      </c>
      <c r="V159" s="28" t="str">
        <f>HYPERLINK("https://znanium.com/catalog/product/2023957", "Ознакомиться")</f>
        <v>Ознакомиться</v>
      </c>
      <c r="W159" s="8" t="s">
        <v>334</v>
      </c>
      <c r="X159" s="6"/>
      <c r="Y159" s="6"/>
      <c r="Z159" s="6"/>
      <c r="AA159" s="6" t="s">
        <v>79</v>
      </c>
    </row>
    <row r="160" spans="1:27" s="4" customFormat="1" ht="51.95" customHeight="1">
      <c r="A160" s="5">
        <v>0</v>
      </c>
      <c r="B160" s="6" t="s">
        <v>1001</v>
      </c>
      <c r="C160" s="7">
        <v>894.9</v>
      </c>
      <c r="D160" s="8" t="s">
        <v>1002</v>
      </c>
      <c r="E160" s="8" t="s">
        <v>1003</v>
      </c>
      <c r="F160" s="8" t="s">
        <v>179</v>
      </c>
      <c r="G160" s="6" t="s">
        <v>58</v>
      </c>
      <c r="H160" s="6" t="s">
        <v>84</v>
      </c>
      <c r="I160" s="8" t="s">
        <v>185</v>
      </c>
      <c r="J160" s="9">
        <v>1</v>
      </c>
      <c r="K160" s="9">
        <v>247</v>
      </c>
      <c r="L160" s="9">
        <v>2018</v>
      </c>
      <c r="M160" s="8" t="s">
        <v>1004</v>
      </c>
      <c r="N160" s="8" t="s">
        <v>40</v>
      </c>
      <c r="O160" s="8" t="s">
        <v>41</v>
      </c>
      <c r="P160" s="6" t="s">
        <v>75</v>
      </c>
      <c r="Q160" s="8" t="s">
        <v>76</v>
      </c>
      <c r="R160" s="10" t="s">
        <v>1005</v>
      </c>
      <c r="S160" s="11"/>
      <c r="T160" s="6"/>
      <c r="U160" s="28" t="str">
        <f>HYPERLINK("https://media.infra-m.ru/1003/1003678/cover/1003678.jpg", "Обложка")</f>
        <v>Обложка</v>
      </c>
      <c r="V160" s="28" t="str">
        <f>HYPERLINK("https://znanium.com/catalog/product/1241806", "Ознакомиться")</f>
        <v>Ознакомиться</v>
      </c>
      <c r="W160" s="8" t="s">
        <v>170</v>
      </c>
      <c r="X160" s="6"/>
      <c r="Y160" s="6"/>
      <c r="Z160" s="6"/>
      <c r="AA160" s="6" t="s">
        <v>46</v>
      </c>
    </row>
    <row r="161" spans="1:27" s="4" customFormat="1" ht="51.95" customHeight="1">
      <c r="A161" s="5">
        <v>0</v>
      </c>
      <c r="B161" s="6" t="s">
        <v>1006</v>
      </c>
      <c r="C161" s="13">
        <v>1034.9000000000001</v>
      </c>
      <c r="D161" s="8" t="s">
        <v>1007</v>
      </c>
      <c r="E161" s="8" t="s">
        <v>1008</v>
      </c>
      <c r="F161" s="8" t="s">
        <v>1009</v>
      </c>
      <c r="G161" s="6" t="s">
        <v>58</v>
      </c>
      <c r="H161" s="6" t="s">
        <v>192</v>
      </c>
      <c r="I161" s="8" t="s">
        <v>120</v>
      </c>
      <c r="J161" s="9">
        <v>1</v>
      </c>
      <c r="K161" s="9">
        <v>272</v>
      </c>
      <c r="L161" s="9">
        <v>2022</v>
      </c>
      <c r="M161" s="8" t="s">
        <v>1010</v>
      </c>
      <c r="N161" s="8" t="s">
        <v>40</v>
      </c>
      <c r="O161" s="8" t="s">
        <v>41</v>
      </c>
      <c r="P161" s="6" t="s">
        <v>75</v>
      </c>
      <c r="Q161" s="8" t="s">
        <v>76</v>
      </c>
      <c r="R161" s="10" t="s">
        <v>718</v>
      </c>
      <c r="S161" s="11" t="s">
        <v>1011</v>
      </c>
      <c r="T161" s="6"/>
      <c r="U161" s="28" t="str">
        <f>HYPERLINK("https://media.infra-m.ru/1841/1841693/cover/1841693.jpg", "Обложка")</f>
        <v>Обложка</v>
      </c>
      <c r="V161" s="28" t="str">
        <f>HYPERLINK("https://znanium.com/catalog/product/945557", "Ознакомиться")</f>
        <v>Ознакомиться</v>
      </c>
      <c r="W161" s="8" t="s">
        <v>1012</v>
      </c>
      <c r="X161" s="6"/>
      <c r="Y161" s="6"/>
      <c r="Z161" s="6"/>
      <c r="AA161" s="6" t="s">
        <v>622</v>
      </c>
    </row>
    <row r="162" spans="1:27" s="4" customFormat="1" ht="42" customHeight="1">
      <c r="A162" s="5">
        <v>0</v>
      </c>
      <c r="B162" s="6" t="s">
        <v>1013</v>
      </c>
      <c r="C162" s="7">
        <v>549.9</v>
      </c>
      <c r="D162" s="8" t="s">
        <v>1014</v>
      </c>
      <c r="E162" s="8" t="s">
        <v>1015</v>
      </c>
      <c r="F162" s="8" t="s">
        <v>1016</v>
      </c>
      <c r="G162" s="6" t="s">
        <v>51</v>
      </c>
      <c r="H162" s="6" t="s">
        <v>84</v>
      </c>
      <c r="I162" s="8" t="s">
        <v>251</v>
      </c>
      <c r="J162" s="9">
        <v>1</v>
      </c>
      <c r="K162" s="9">
        <v>160</v>
      </c>
      <c r="L162" s="9">
        <v>2019</v>
      </c>
      <c r="M162" s="8" t="s">
        <v>1017</v>
      </c>
      <c r="N162" s="8" t="s">
        <v>40</v>
      </c>
      <c r="O162" s="8" t="s">
        <v>41</v>
      </c>
      <c r="P162" s="6" t="s">
        <v>42</v>
      </c>
      <c r="Q162" s="8" t="s">
        <v>43</v>
      </c>
      <c r="R162" s="10" t="s">
        <v>304</v>
      </c>
      <c r="S162" s="11"/>
      <c r="T162" s="6"/>
      <c r="U162" s="28" t="str">
        <f>HYPERLINK("https://media.infra-m.ru/1002/1002713/cover/1002713.jpg", "Обложка")</f>
        <v>Обложка</v>
      </c>
      <c r="V162" s="28" t="str">
        <f>HYPERLINK("https://znanium.com/catalog/product/1002713", "Ознакомиться")</f>
        <v>Ознакомиться</v>
      </c>
      <c r="W162" s="8" t="s">
        <v>692</v>
      </c>
      <c r="X162" s="6"/>
      <c r="Y162" s="6"/>
      <c r="Z162" s="6"/>
      <c r="AA162" s="6" t="s">
        <v>622</v>
      </c>
    </row>
    <row r="163" spans="1:27" s="4" customFormat="1" ht="51.95" customHeight="1">
      <c r="A163" s="5">
        <v>0</v>
      </c>
      <c r="B163" s="6" t="s">
        <v>1018</v>
      </c>
      <c r="C163" s="7">
        <v>790</v>
      </c>
      <c r="D163" s="8" t="s">
        <v>1019</v>
      </c>
      <c r="E163" s="8" t="s">
        <v>1020</v>
      </c>
      <c r="F163" s="8" t="s">
        <v>1021</v>
      </c>
      <c r="G163" s="6" t="s">
        <v>51</v>
      </c>
      <c r="H163" s="6" t="s">
        <v>84</v>
      </c>
      <c r="I163" s="8" t="s">
        <v>251</v>
      </c>
      <c r="J163" s="9">
        <v>1</v>
      </c>
      <c r="K163" s="9">
        <v>157</v>
      </c>
      <c r="L163" s="9">
        <v>2023</v>
      </c>
      <c r="M163" s="8" t="s">
        <v>1022</v>
      </c>
      <c r="N163" s="8" t="s">
        <v>40</v>
      </c>
      <c r="O163" s="8" t="s">
        <v>41</v>
      </c>
      <c r="P163" s="6" t="s">
        <v>42</v>
      </c>
      <c r="Q163" s="8" t="s">
        <v>43</v>
      </c>
      <c r="R163" s="10" t="s">
        <v>473</v>
      </c>
      <c r="S163" s="11"/>
      <c r="T163" s="6"/>
      <c r="U163" s="28" t="str">
        <f>HYPERLINK("https://media.infra-m.ru/1915/1915701/cover/1915701.jpg", "Обложка")</f>
        <v>Обложка</v>
      </c>
      <c r="V163" s="28" t="str">
        <f>HYPERLINK("https://znanium.com/catalog/product/1915701", "Ознакомиться")</f>
        <v>Ознакомиться</v>
      </c>
      <c r="W163" s="8" t="s">
        <v>1023</v>
      </c>
      <c r="X163" s="6" t="s">
        <v>1024</v>
      </c>
      <c r="Y163" s="6"/>
      <c r="Z163" s="6"/>
      <c r="AA163" s="6" t="s">
        <v>408</v>
      </c>
    </row>
    <row r="164" spans="1:27" s="4" customFormat="1" ht="51.95" customHeight="1">
      <c r="A164" s="5">
        <v>0</v>
      </c>
      <c r="B164" s="6" t="s">
        <v>1025</v>
      </c>
      <c r="C164" s="7">
        <v>790</v>
      </c>
      <c r="D164" s="8" t="s">
        <v>1026</v>
      </c>
      <c r="E164" s="8" t="s">
        <v>1027</v>
      </c>
      <c r="F164" s="8" t="s">
        <v>1028</v>
      </c>
      <c r="G164" s="6" t="s">
        <v>58</v>
      </c>
      <c r="H164" s="6" t="s">
        <v>84</v>
      </c>
      <c r="I164" s="8" t="s">
        <v>316</v>
      </c>
      <c r="J164" s="9">
        <v>1</v>
      </c>
      <c r="K164" s="9">
        <v>169</v>
      </c>
      <c r="L164" s="9">
        <v>2022</v>
      </c>
      <c r="M164" s="8" t="s">
        <v>1029</v>
      </c>
      <c r="N164" s="8" t="s">
        <v>40</v>
      </c>
      <c r="O164" s="8" t="s">
        <v>41</v>
      </c>
      <c r="P164" s="6" t="s">
        <v>75</v>
      </c>
      <c r="Q164" s="8" t="s">
        <v>157</v>
      </c>
      <c r="R164" s="10" t="s">
        <v>1030</v>
      </c>
      <c r="S164" s="11" t="s">
        <v>1031</v>
      </c>
      <c r="T164" s="6"/>
      <c r="U164" s="28" t="str">
        <f>HYPERLINK("https://media.infra-m.ru/1096/1096100/cover/1096100.jpg", "Обложка")</f>
        <v>Обложка</v>
      </c>
      <c r="V164" s="28" t="str">
        <f>HYPERLINK("https://znanium.com/catalog/product/1096100", "Ознакомиться")</f>
        <v>Ознакомиться</v>
      </c>
      <c r="W164" s="8" t="s">
        <v>1032</v>
      </c>
      <c r="X164" s="6"/>
      <c r="Y164" s="6"/>
      <c r="Z164" s="6"/>
      <c r="AA164" s="6" t="s">
        <v>343</v>
      </c>
    </row>
    <row r="165" spans="1:27" s="4" customFormat="1" ht="51.95" customHeight="1">
      <c r="A165" s="5">
        <v>0</v>
      </c>
      <c r="B165" s="6" t="s">
        <v>1033</v>
      </c>
      <c r="C165" s="7">
        <v>774</v>
      </c>
      <c r="D165" s="8" t="s">
        <v>1034</v>
      </c>
      <c r="E165" s="8" t="s">
        <v>1035</v>
      </c>
      <c r="F165" s="8" t="s">
        <v>1028</v>
      </c>
      <c r="G165" s="6" t="s">
        <v>58</v>
      </c>
      <c r="H165" s="6" t="s">
        <v>84</v>
      </c>
      <c r="I165" s="8" t="s">
        <v>316</v>
      </c>
      <c r="J165" s="9">
        <v>1</v>
      </c>
      <c r="K165" s="9">
        <v>165</v>
      </c>
      <c r="L165" s="9">
        <v>2023</v>
      </c>
      <c r="M165" s="8" t="s">
        <v>1036</v>
      </c>
      <c r="N165" s="8" t="s">
        <v>40</v>
      </c>
      <c r="O165" s="8" t="s">
        <v>41</v>
      </c>
      <c r="P165" s="6" t="s">
        <v>75</v>
      </c>
      <c r="Q165" s="8" t="s">
        <v>157</v>
      </c>
      <c r="R165" s="10" t="s">
        <v>1037</v>
      </c>
      <c r="S165" s="11" t="s">
        <v>1038</v>
      </c>
      <c r="T165" s="6"/>
      <c r="U165" s="28" t="str">
        <f>HYPERLINK("https://media.infra-m.ru/2006/2006089/cover/2006089.jpg", "Обложка")</f>
        <v>Обложка</v>
      </c>
      <c r="V165" s="28" t="str">
        <f>HYPERLINK("https://znanium.com/catalog/product/1863145", "Ознакомиться")</f>
        <v>Ознакомиться</v>
      </c>
      <c r="W165" s="8" t="s">
        <v>1032</v>
      </c>
      <c r="X165" s="6"/>
      <c r="Y165" s="6"/>
      <c r="Z165" s="6"/>
      <c r="AA165" s="6" t="s">
        <v>46</v>
      </c>
    </row>
    <row r="166" spans="1:27" s="4" customFormat="1" ht="51.95" customHeight="1">
      <c r="A166" s="5">
        <v>0</v>
      </c>
      <c r="B166" s="6" t="s">
        <v>1039</v>
      </c>
      <c r="C166" s="7">
        <v>650</v>
      </c>
      <c r="D166" s="8" t="s">
        <v>1040</v>
      </c>
      <c r="E166" s="8" t="s">
        <v>1041</v>
      </c>
      <c r="F166" s="8" t="s">
        <v>1042</v>
      </c>
      <c r="G166" s="6" t="s">
        <v>51</v>
      </c>
      <c r="H166" s="6" t="s">
        <v>84</v>
      </c>
      <c r="I166" s="8"/>
      <c r="J166" s="9">
        <v>1</v>
      </c>
      <c r="K166" s="9">
        <v>166</v>
      </c>
      <c r="L166" s="9">
        <v>2022</v>
      </c>
      <c r="M166" s="8" t="s">
        <v>1043</v>
      </c>
      <c r="N166" s="8" t="s">
        <v>40</v>
      </c>
      <c r="O166" s="8" t="s">
        <v>41</v>
      </c>
      <c r="P166" s="6" t="s">
        <v>42</v>
      </c>
      <c r="Q166" s="8" t="s">
        <v>43</v>
      </c>
      <c r="R166" s="10" t="s">
        <v>1044</v>
      </c>
      <c r="S166" s="11"/>
      <c r="T166" s="6"/>
      <c r="U166" s="28" t="str">
        <f>HYPERLINK("https://media.infra-m.ru/1854/1854748/cover/1854748.jpg", "Обложка")</f>
        <v>Обложка</v>
      </c>
      <c r="V166" s="28" t="str">
        <f>HYPERLINK("https://znanium.com/catalog/product/1854748", "Ознакомиться")</f>
        <v>Ознакомиться</v>
      </c>
      <c r="W166" s="8" t="s">
        <v>114</v>
      </c>
      <c r="X166" s="6"/>
      <c r="Y166" s="6"/>
      <c r="Z166" s="6"/>
      <c r="AA166" s="6" t="s">
        <v>79</v>
      </c>
    </row>
    <row r="167" spans="1:27" s="4" customFormat="1" ht="42" customHeight="1">
      <c r="A167" s="5">
        <v>0</v>
      </c>
      <c r="B167" s="6" t="s">
        <v>1045</v>
      </c>
      <c r="C167" s="7">
        <v>890</v>
      </c>
      <c r="D167" s="8" t="s">
        <v>1046</v>
      </c>
      <c r="E167" s="8" t="s">
        <v>1047</v>
      </c>
      <c r="F167" s="8" t="s">
        <v>250</v>
      </c>
      <c r="G167" s="6" t="s">
        <v>37</v>
      </c>
      <c r="H167" s="6" t="s">
        <v>84</v>
      </c>
      <c r="I167" s="8" t="s">
        <v>251</v>
      </c>
      <c r="J167" s="9">
        <v>1</v>
      </c>
      <c r="K167" s="9">
        <v>220</v>
      </c>
      <c r="L167" s="9">
        <v>2022</v>
      </c>
      <c r="M167" s="8" t="s">
        <v>1048</v>
      </c>
      <c r="N167" s="8" t="s">
        <v>40</v>
      </c>
      <c r="O167" s="8" t="s">
        <v>41</v>
      </c>
      <c r="P167" s="6" t="s">
        <v>42</v>
      </c>
      <c r="Q167" s="8" t="s">
        <v>43</v>
      </c>
      <c r="R167" s="10" t="s">
        <v>776</v>
      </c>
      <c r="S167" s="11"/>
      <c r="T167" s="6"/>
      <c r="U167" s="28" t="str">
        <f>HYPERLINK("https://media.infra-m.ru/1869/1869001/cover/1869001.jpg", "Обложка")</f>
        <v>Обложка</v>
      </c>
      <c r="V167" s="28" t="str">
        <f>HYPERLINK("https://znanium.com/catalog/product/1869001", "Ознакомиться")</f>
        <v>Ознакомиться</v>
      </c>
      <c r="W167" s="8" t="s">
        <v>195</v>
      </c>
      <c r="X167" s="6"/>
      <c r="Y167" s="6"/>
      <c r="Z167" s="6"/>
      <c r="AA167" s="6" t="s">
        <v>88</v>
      </c>
    </row>
    <row r="168" spans="1:27" s="4" customFormat="1" ht="42" customHeight="1">
      <c r="A168" s="5">
        <v>0</v>
      </c>
      <c r="B168" s="6" t="s">
        <v>1049</v>
      </c>
      <c r="C168" s="13">
        <v>1020</v>
      </c>
      <c r="D168" s="8" t="s">
        <v>1050</v>
      </c>
      <c r="E168" s="8" t="s">
        <v>1051</v>
      </c>
      <c r="F168" s="8" t="s">
        <v>1052</v>
      </c>
      <c r="G168" s="6" t="s">
        <v>58</v>
      </c>
      <c r="H168" s="6" t="s">
        <v>38</v>
      </c>
      <c r="I168" s="8"/>
      <c r="J168" s="9">
        <v>1</v>
      </c>
      <c r="K168" s="9">
        <v>216</v>
      </c>
      <c r="L168" s="9">
        <v>2023</v>
      </c>
      <c r="M168" s="8" t="s">
        <v>1053</v>
      </c>
      <c r="N168" s="8" t="s">
        <v>40</v>
      </c>
      <c r="O168" s="8" t="s">
        <v>41</v>
      </c>
      <c r="P168" s="6" t="s">
        <v>75</v>
      </c>
      <c r="Q168" s="8" t="s">
        <v>157</v>
      </c>
      <c r="R168" s="10" t="s">
        <v>1054</v>
      </c>
      <c r="S168" s="11"/>
      <c r="T168" s="6"/>
      <c r="U168" s="28" t="str">
        <f>HYPERLINK("https://media.infra-m.ru/1915/1915618/cover/1915618.jpg", "Обложка")</f>
        <v>Обложка</v>
      </c>
      <c r="V168" s="28" t="str">
        <f>HYPERLINK("https://znanium.com/catalog/product/1915618", "Ознакомиться")</f>
        <v>Ознакомиться</v>
      </c>
      <c r="W168" s="8" t="s">
        <v>535</v>
      </c>
      <c r="X168" s="6" t="s">
        <v>466</v>
      </c>
      <c r="Y168" s="6"/>
      <c r="Z168" s="6"/>
      <c r="AA168" s="6" t="s">
        <v>408</v>
      </c>
    </row>
    <row r="169" spans="1:27" s="4" customFormat="1" ht="51.95" customHeight="1">
      <c r="A169" s="5">
        <v>0</v>
      </c>
      <c r="B169" s="6" t="s">
        <v>1055</v>
      </c>
      <c r="C169" s="13">
        <v>1244.9000000000001</v>
      </c>
      <c r="D169" s="8" t="s">
        <v>1056</v>
      </c>
      <c r="E169" s="8" t="s">
        <v>1057</v>
      </c>
      <c r="F169" s="8" t="s">
        <v>1058</v>
      </c>
      <c r="G169" s="6" t="s">
        <v>58</v>
      </c>
      <c r="H169" s="6" t="s">
        <v>84</v>
      </c>
      <c r="I169" s="8"/>
      <c r="J169" s="9">
        <v>1</v>
      </c>
      <c r="K169" s="9">
        <v>320</v>
      </c>
      <c r="L169" s="9">
        <v>2022</v>
      </c>
      <c r="M169" s="8" t="s">
        <v>1059</v>
      </c>
      <c r="N169" s="8" t="s">
        <v>40</v>
      </c>
      <c r="O169" s="8" t="s">
        <v>41</v>
      </c>
      <c r="P169" s="6" t="s">
        <v>42</v>
      </c>
      <c r="Q169" s="8" t="s">
        <v>43</v>
      </c>
      <c r="R169" s="10" t="s">
        <v>1060</v>
      </c>
      <c r="S169" s="11"/>
      <c r="T169" s="6"/>
      <c r="U169" s="28" t="str">
        <f>HYPERLINK("https://media.infra-m.ru/1861/1861796/cover/1861796.jpg", "Обложка")</f>
        <v>Обложка</v>
      </c>
      <c r="V169" s="28" t="str">
        <f>HYPERLINK("https://znanium.com/catalog/product/1015090", "Ознакомиться")</f>
        <v>Ознакомиться</v>
      </c>
      <c r="W169" s="8" t="s">
        <v>45</v>
      </c>
      <c r="X169" s="6"/>
      <c r="Y169" s="6"/>
      <c r="Z169" s="6"/>
      <c r="AA169" s="6" t="s">
        <v>422</v>
      </c>
    </row>
    <row r="170" spans="1:27" s="4" customFormat="1" ht="42" customHeight="1">
      <c r="A170" s="5">
        <v>0</v>
      </c>
      <c r="B170" s="6" t="s">
        <v>1061</v>
      </c>
      <c r="C170" s="13">
        <v>1544.9</v>
      </c>
      <c r="D170" s="8" t="s">
        <v>1062</v>
      </c>
      <c r="E170" s="8" t="s">
        <v>1063</v>
      </c>
      <c r="F170" s="8" t="s">
        <v>1064</v>
      </c>
      <c r="G170" s="6" t="s">
        <v>58</v>
      </c>
      <c r="H170" s="6" t="s">
        <v>84</v>
      </c>
      <c r="I170" s="8" t="s">
        <v>998</v>
      </c>
      <c r="J170" s="9">
        <v>1</v>
      </c>
      <c r="K170" s="9">
        <v>343</v>
      </c>
      <c r="L170" s="9">
        <v>2023</v>
      </c>
      <c r="M170" s="8" t="s">
        <v>1065</v>
      </c>
      <c r="N170" s="8" t="s">
        <v>40</v>
      </c>
      <c r="O170" s="8" t="s">
        <v>41</v>
      </c>
      <c r="P170" s="6" t="s">
        <v>42</v>
      </c>
      <c r="Q170" s="8" t="s">
        <v>43</v>
      </c>
      <c r="R170" s="10" t="s">
        <v>776</v>
      </c>
      <c r="S170" s="11"/>
      <c r="T170" s="6"/>
      <c r="U170" s="28" t="str">
        <f>HYPERLINK("https://media.infra-m.ru/2002/2002635/cover/2002635.jpg", "Обложка")</f>
        <v>Обложка</v>
      </c>
      <c r="V170" s="28" t="str">
        <f>HYPERLINK("https://znanium.com/catalog/product/1010527", "Ознакомиться")</f>
        <v>Ознакомиться</v>
      </c>
      <c r="W170" s="8" t="s">
        <v>503</v>
      </c>
      <c r="X170" s="6"/>
      <c r="Y170" s="6"/>
      <c r="Z170" s="6"/>
      <c r="AA170" s="6" t="s">
        <v>148</v>
      </c>
    </row>
    <row r="171" spans="1:27" s="4" customFormat="1" ht="51.95" customHeight="1">
      <c r="A171" s="5">
        <v>0</v>
      </c>
      <c r="B171" s="6" t="s">
        <v>1066</v>
      </c>
      <c r="C171" s="13">
        <v>1440</v>
      </c>
      <c r="D171" s="8" t="s">
        <v>1067</v>
      </c>
      <c r="E171" s="8" t="s">
        <v>1068</v>
      </c>
      <c r="F171" s="8" t="s">
        <v>1069</v>
      </c>
      <c r="G171" s="6" t="s">
        <v>37</v>
      </c>
      <c r="H171" s="6" t="s">
        <v>38</v>
      </c>
      <c r="I171" s="8"/>
      <c r="J171" s="9">
        <v>1</v>
      </c>
      <c r="K171" s="9">
        <v>320</v>
      </c>
      <c r="L171" s="9">
        <v>2023</v>
      </c>
      <c r="M171" s="8" t="s">
        <v>1070</v>
      </c>
      <c r="N171" s="8" t="s">
        <v>40</v>
      </c>
      <c r="O171" s="8" t="s">
        <v>41</v>
      </c>
      <c r="P171" s="6" t="s">
        <v>42</v>
      </c>
      <c r="Q171" s="8" t="s">
        <v>43</v>
      </c>
      <c r="R171" s="10" t="s">
        <v>1071</v>
      </c>
      <c r="S171" s="11"/>
      <c r="T171" s="6"/>
      <c r="U171" s="28" t="str">
        <f>HYPERLINK("https://media.infra-m.ru/1993/1993450/cover/1993450.jpg", "Обложка")</f>
        <v>Обложка</v>
      </c>
      <c r="V171" s="28" t="str">
        <f>HYPERLINK("https://znanium.com/catalog/product/1993450", "Ознакомиться")</f>
        <v>Ознакомиться</v>
      </c>
      <c r="W171" s="8" t="s">
        <v>45</v>
      </c>
      <c r="X171" s="6"/>
      <c r="Y171" s="6"/>
      <c r="Z171" s="6"/>
      <c r="AA171" s="6" t="s">
        <v>289</v>
      </c>
    </row>
    <row r="172" spans="1:27" s="4" customFormat="1" ht="51.95" customHeight="1">
      <c r="A172" s="5">
        <v>0</v>
      </c>
      <c r="B172" s="6" t="s">
        <v>1072</v>
      </c>
      <c r="C172" s="7">
        <v>930</v>
      </c>
      <c r="D172" s="8" t="s">
        <v>1073</v>
      </c>
      <c r="E172" s="8" t="s">
        <v>1074</v>
      </c>
      <c r="F172" s="8" t="s">
        <v>250</v>
      </c>
      <c r="G172" s="6" t="s">
        <v>51</v>
      </c>
      <c r="H172" s="6" t="s">
        <v>84</v>
      </c>
      <c r="I172" s="8" t="s">
        <v>251</v>
      </c>
      <c r="J172" s="9">
        <v>1</v>
      </c>
      <c r="K172" s="9">
        <v>221</v>
      </c>
      <c r="L172" s="9">
        <v>2022</v>
      </c>
      <c r="M172" s="8" t="s">
        <v>1075</v>
      </c>
      <c r="N172" s="8" t="s">
        <v>40</v>
      </c>
      <c r="O172" s="8" t="s">
        <v>41</v>
      </c>
      <c r="P172" s="6" t="s">
        <v>42</v>
      </c>
      <c r="Q172" s="8" t="s">
        <v>43</v>
      </c>
      <c r="R172" s="10" t="s">
        <v>1076</v>
      </c>
      <c r="S172" s="11"/>
      <c r="T172" s="6"/>
      <c r="U172" s="28" t="str">
        <f>HYPERLINK("https://media.infra-m.ru/1869/1869002/cover/1869002.jpg", "Обложка")</f>
        <v>Обложка</v>
      </c>
      <c r="V172" s="28" t="str">
        <f>HYPERLINK("https://znanium.com/catalog/product/1869002", "Ознакомиться")</f>
        <v>Ознакомиться</v>
      </c>
      <c r="W172" s="8" t="s">
        <v>195</v>
      </c>
      <c r="X172" s="6"/>
      <c r="Y172" s="6"/>
      <c r="Z172" s="6"/>
      <c r="AA172" s="6" t="s">
        <v>46</v>
      </c>
    </row>
    <row r="173" spans="1:27" s="4" customFormat="1" ht="42" customHeight="1">
      <c r="A173" s="5">
        <v>0</v>
      </c>
      <c r="B173" s="6" t="s">
        <v>1077</v>
      </c>
      <c r="C173" s="7">
        <v>660</v>
      </c>
      <c r="D173" s="8" t="s">
        <v>1078</v>
      </c>
      <c r="E173" s="8" t="s">
        <v>1079</v>
      </c>
      <c r="F173" s="8" t="s">
        <v>1080</v>
      </c>
      <c r="G173" s="6" t="s">
        <v>51</v>
      </c>
      <c r="H173" s="6" t="s">
        <v>52</v>
      </c>
      <c r="I173" s="8" t="s">
        <v>251</v>
      </c>
      <c r="J173" s="14">
        <v>0</v>
      </c>
      <c r="K173" s="9">
        <v>195</v>
      </c>
      <c r="L173" s="9">
        <v>2019</v>
      </c>
      <c r="M173" s="8" t="s">
        <v>1081</v>
      </c>
      <c r="N173" s="8" t="s">
        <v>40</v>
      </c>
      <c r="O173" s="8" t="s">
        <v>41</v>
      </c>
      <c r="P173" s="6" t="s">
        <v>42</v>
      </c>
      <c r="Q173" s="8" t="s">
        <v>43</v>
      </c>
      <c r="R173" s="10"/>
      <c r="S173" s="11"/>
      <c r="T173" s="6"/>
      <c r="U173" s="28" t="str">
        <f>HYPERLINK("https://media.infra-m.ru/0993/0993254/cover/993254.jpg", "Обложка")</f>
        <v>Обложка</v>
      </c>
      <c r="V173" s="12"/>
      <c r="W173" s="8" t="s">
        <v>1082</v>
      </c>
      <c r="X173" s="6"/>
      <c r="Y173" s="6"/>
      <c r="Z173" s="6"/>
      <c r="AA173" s="6" t="s">
        <v>79</v>
      </c>
    </row>
    <row r="174" spans="1:27" s="4" customFormat="1" ht="51.95" customHeight="1">
      <c r="A174" s="5">
        <v>0</v>
      </c>
      <c r="B174" s="6" t="s">
        <v>1083</v>
      </c>
      <c r="C174" s="13">
        <v>1220</v>
      </c>
      <c r="D174" s="8" t="s">
        <v>1084</v>
      </c>
      <c r="E174" s="8" t="s">
        <v>1085</v>
      </c>
      <c r="F174" s="8" t="s">
        <v>1086</v>
      </c>
      <c r="G174" s="6" t="s">
        <v>51</v>
      </c>
      <c r="H174" s="6" t="s">
        <v>38</v>
      </c>
      <c r="I174" s="8" t="s">
        <v>1087</v>
      </c>
      <c r="J174" s="9">
        <v>1</v>
      </c>
      <c r="K174" s="9">
        <v>272</v>
      </c>
      <c r="L174" s="9">
        <v>2023</v>
      </c>
      <c r="M174" s="8" t="s">
        <v>1088</v>
      </c>
      <c r="N174" s="8" t="s">
        <v>40</v>
      </c>
      <c r="O174" s="8" t="s">
        <v>41</v>
      </c>
      <c r="P174" s="6" t="s">
        <v>75</v>
      </c>
      <c r="Q174" s="8" t="s">
        <v>76</v>
      </c>
      <c r="R174" s="10" t="s">
        <v>168</v>
      </c>
      <c r="S174" s="11"/>
      <c r="T174" s="6"/>
      <c r="U174" s="28" t="str">
        <f>HYPERLINK("https://media.infra-m.ru/1913/1913518/cover/1913518.jpg", "Обложка")</f>
        <v>Обложка</v>
      </c>
      <c r="V174" s="28" t="str">
        <f>HYPERLINK("https://znanium.com/catalog/product/1913518", "Ознакомиться")</f>
        <v>Ознакомиться</v>
      </c>
      <c r="W174" s="8" t="s">
        <v>124</v>
      </c>
      <c r="X174" s="6"/>
      <c r="Y174" s="6"/>
      <c r="Z174" s="6"/>
      <c r="AA174" s="6" t="s">
        <v>1089</v>
      </c>
    </row>
    <row r="175" spans="1:27" s="4" customFormat="1" ht="51.95" customHeight="1">
      <c r="A175" s="5">
        <v>0</v>
      </c>
      <c r="B175" s="6" t="s">
        <v>1090</v>
      </c>
      <c r="C175" s="7">
        <v>790</v>
      </c>
      <c r="D175" s="8" t="s">
        <v>1091</v>
      </c>
      <c r="E175" s="8" t="s">
        <v>1092</v>
      </c>
      <c r="F175" s="8" t="s">
        <v>1086</v>
      </c>
      <c r="G175" s="6" t="s">
        <v>51</v>
      </c>
      <c r="H175" s="6" t="s">
        <v>38</v>
      </c>
      <c r="I175" s="8" t="s">
        <v>1087</v>
      </c>
      <c r="J175" s="9">
        <v>1</v>
      </c>
      <c r="K175" s="9">
        <v>304</v>
      </c>
      <c r="L175" s="9">
        <v>2019</v>
      </c>
      <c r="M175" s="8" t="s">
        <v>1093</v>
      </c>
      <c r="N175" s="8" t="s">
        <v>40</v>
      </c>
      <c r="O175" s="8" t="s">
        <v>41</v>
      </c>
      <c r="P175" s="6" t="s">
        <v>75</v>
      </c>
      <c r="Q175" s="8" t="s">
        <v>76</v>
      </c>
      <c r="R175" s="10" t="s">
        <v>168</v>
      </c>
      <c r="S175" s="11"/>
      <c r="T175" s="6"/>
      <c r="U175" s="28" t="str">
        <f>HYPERLINK("https://media.infra-m.ru/1002/1002332/cover/1002332.jpg", "Обложка")</f>
        <v>Обложка</v>
      </c>
      <c r="V175" s="28" t="str">
        <f>HYPERLINK("https://znanium.com/catalog/product/1913518", "Ознакомиться")</f>
        <v>Ознакомиться</v>
      </c>
      <c r="W175" s="8" t="s">
        <v>124</v>
      </c>
      <c r="X175" s="6"/>
      <c r="Y175" s="6"/>
      <c r="Z175" s="6"/>
      <c r="AA175" s="6" t="s">
        <v>229</v>
      </c>
    </row>
    <row r="176" spans="1:27" s="4" customFormat="1" ht="42" customHeight="1">
      <c r="A176" s="5">
        <v>0</v>
      </c>
      <c r="B176" s="6" t="s">
        <v>1094</v>
      </c>
      <c r="C176" s="13">
        <v>1300</v>
      </c>
      <c r="D176" s="8" t="s">
        <v>1095</v>
      </c>
      <c r="E176" s="8" t="s">
        <v>1096</v>
      </c>
      <c r="F176" s="8" t="s">
        <v>1086</v>
      </c>
      <c r="G176" s="6" t="s">
        <v>37</v>
      </c>
      <c r="H176" s="6" t="s">
        <v>38</v>
      </c>
      <c r="I176" s="8" t="s">
        <v>93</v>
      </c>
      <c r="J176" s="9">
        <v>1</v>
      </c>
      <c r="K176" s="9">
        <v>272</v>
      </c>
      <c r="L176" s="9">
        <v>2024</v>
      </c>
      <c r="M176" s="8" t="s">
        <v>1097</v>
      </c>
      <c r="N176" s="8" t="s">
        <v>40</v>
      </c>
      <c r="O176" s="8" t="s">
        <v>41</v>
      </c>
      <c r="P176" s="6" t="s">
        <v>95</v>
      </c>
      <c r="Q176" s="8" t="s">
        <v>96</v>
      </c>
      <c r="R176" s="10" t="s">
        <v>181</v>
      </c>
      <c r="S176" s="11"/>
      <c r="T176" s="6"/>
      <c r="U176" s="28" t="str">
        <f>HYPERLINK("https://media.infra-m.ru/2117/2117561/cover/2117561.jpg", "Обложка")</f>
        <v>Обложка</v>
      </c>
      <c r="V176" s="28" t="str">
        <f>HYPERLINK("https://znanium.com/catalog/product/2117561", "Ознакомиться")</f>
        <v>Ознакомиться</v>
      </c>
      <c r="W176" s="8" t="s">
        <v>124</v>
      </c>
      <c r="X176" s="6"/>
      <c r="Y176" s="6"/>
      <c r="Z176" s="6" t="s">
        <v>136</v>
      </c>
      <c r="AA176" s="6" t="s">
        <v>320</v>
      </c>
    </row>
    <row r="177" spans="1:27" s="4" customFormat="1" ht="42" customHeight="1">
      <c r="A177" s="5">
        <v>0</v>
      </c>
      <c r="B177" s="6" t="s">
        <v>1098</v>
      </c>
      <c r="C177" s="7">
        <v>920</v>
      </c>
      <c r="D177" s="8" t="s">
        <v>1099</v>
      </c>
      <c r="E177" s="8" t="s">
        <v>1100</v>
      </c>
      <c r="F177" s="8" t="s">
        <v>1086</v>
      </c>
      <c r="G177" s="6" t="s">
        <v>58</v>
      </c>
      <c r="H177" s="6" t="s">
        <v>38</v>
      </c>
      <c r="I177" s="8" t="s">
        <v>93</v>
      </c>
      <c r="J177" s="9">
        <v>1</v>
      </c>
      <c r="K177" s="9">
        <v>304</v>
      </c>
      <c r="L177" s="9">
        <v>2019</v>
      </c>
      <c r="M177" s="8" t="s">
        <v>1101</v>
      </c>
      <c r="N177" s="8" t="s">
        <v>40</v>
      </c>
      <c r="O177" s="8" t="s">
        <v>41</v>
      </c>
      <c r="P177" s="6" t="s">
        <v>95</v>
      </c>
      <c r="Q177" s="8" t="s">
        <v>96</v>
      </c>
      <c r="R177" s="10" t="s">
        <v>181</v>
      </c>
      <c r="S177" s="11"/>
      <c r="T177" s="6"/>
      <c r="U177" s="28" t="str">
        <f>HYPERLINK("https://media.infra-m.ru/1003/1003236/cover/1003236.jpg", "Обложка")</f>
        <v>Обложка</v>
      </c>
      <c r="V177" s="28" t="str">
        <f>HYPERLINK("https://znanium.com/catalog/product/2117561", "Ознакомиться")</f>
        <v>Ознакомиться</v>
      </c>
      <c r="W177" s="8" t="s">
        <v>124</v>
      </c>
      <c r="X177" s="6"/>
      <c r="Y177" s="6"/>
      <c r="Z177" s="6" t="s">
        <v>136</v>
      </c>
      <c r="AA177" s="6" t="s">
        <v>46</v>
      </c>
    </row>
    <row r="178" spans="1:27" s="4" customFormat="1" ht="51.95" customHeight="1">
      <c r="A178" s="5">
        <v>0</v>
      </c>
      <c r="B178" s="6" t="s">
        <v>1102</v>
      </c>
      <c r="C178" s="13">
        <v>1830</v>
      </c>
      <c r="D178" s="8" t="s">
        <v>1103</v>
      </c>
      <c r="E178" s="8" t="s">
        <v>1100</v>
      </c>
      <c r="F178" s="8" t="s">
        <v>1104</v>
      </c>
      <c r="G178" s="6" t="s">
        <v>37</v>
      </c>
      <c r="H178" s="6" t="s">
        <v>84</v>
      </c>
      <c r="I178" s="8" t="s">
        <v>1105</v>
      </c>
      <c r="J178" s="9">
        <v>1</v>
      </c>
      <c r="K178" s="9">
        <v>404</v>
      </c>
      <c r="L178" s="9">
        <v>2023</v>
      </c>
      <c r="M178" s="8" t="s">
        <v>1106</v>
      </c>
      <c r="N178" s="8" t="s">
        <v>40</v>
      </c>
      <c r="O178" s="8" t="s">
        <v>41</v>
      </c>
      <c r="P178" s="6" t="s">
        <v>95</v>
      </c>
      <c r="Q178" s="8" t="s">
        <v>680</v>
      </c>
      <c r="R178" s="10" t="s">
        <v>77</v>
      </c>
      <c r="S178" s="11" t="s">
        <v>1107</v>
      </c>
      <c r="T178" s="6"/>
      <c r="U178" s="28" t="str">
        <f>HYPERLINK("https://media.infra-m.ru/2005/2005266/cover/2005266.jpg", "Обложка")</f>
        <v>Обложка</v>
      </c>
      <c r="V178" s="28" t="str">
        <f>HYPERLINK("https://znanium.com/catalog/product/2005266", "Ознакомиться")</f>
        <v>Ознакомиться</v>
      </c>
      <c r="W178" s="8" t="s">
        <v>1108</v>
      </c>
      <c r="X178" s="6"/>
      <c r="Y178" s="6"/>
      <c r="Z178" s="6"/>
      <c r="AA178" s="6" t="s">
        <v>115</v>
      </c>
    </row>
    <row r="179" spans="1:27" s="4" customFormat="1" ht="51.95" customHeight="1">
      <c r="A179" s="5">
        <v>0</v>
      </c>
      <c r="B179" s="6" t="s">
        <v>1109</v>
      </c>
      <c r="C179" s="13">
        <v>1460</v>
      </c>
      <c r="D179" s="8" t="s">
        <v>1110</v>
      </c>
      <c r="E179" s="8" t="s">
        <v>1100</v>
      </c>
      <c r="F179" s="8" t="s">
        <v>1104</v>
      </c>
      <c r="G179" s="6" t="s">
        <v>58</v>
      </c>
      <c r="H179" s="6" t="s">
        <v>84</v>
      </c>
      <c r="I179" s="8" t="s">
        <v>93</v>
      </c>
      <c r="J179" s="9">
        <v>1</v>
      </c>
      <c r="K179" s="9">
        <v>404</v>
      </c>
      <c r="L179" s="9">
        <v>2021</v>
      </c>
      <c r="M179" s="8" t="s">
        <v>1111</v>
      </c>
      <c r="N179" s="8" t="s">
        <v>40</v>
      </c>
      <c r="O179" s="8" t="s">
        <v>41</v>
      </c>
      <c r="P179" s="6" t="s">
        <v>95</v>
      </c>
      <c r="Q179" s="8" t="s">
        <v>96</v>
      </c>
      <c r="R179" s="10" t="s">
        <v>181</v>
      </c>
      <c r="S179" s="11" t="s">
        <v>1112</v>
      </c>
      <c r="T179" s="6"/>
      <c r="U179" s="28" t="str">
        <f>HYPERLINK("https://media.infra-m.ru/1204/1204678/cover/1204678.jpg", "Обложка")</f>
        <v>Обложка</v>
      </c>
      <c r="V179" s="28" t="str">
        <f>HYPERLINK("https://znanium.com/catalog/product/1204678", "Ознакомиться")</f>
        <v>Ознакомиться</v>
      </c>
      <c r="W179" s="8" t="s">
        <v>1108</v>
      </c>
      <c r="X179" s="6"/>
      <c r="Y179" s="6"/>
      <c r="Z179" s="6" t="s">
        <v>1113</v>
      </c>
      <c r="AA179" s="6" t="s">
        <v>62</v>
      </c>
    </row>
    <row r="180" spans="1:27" s="4" customFormat="1" ht="51.95" customHeight="1">
      <c r="A180" s="5">
        <v>0</v>
      </c>
      <c r="B180" s="6" t="s">
        <v>1114</v>
      </c>
      <c r="C180" s="13">
        <v>2160</v>
      </c>
      <c r="D180" s="8" t="s">
        <v>1115</v>
      </c>
      <c r="E180" s="8" t="s">
        <v>1116</v>
      </c>
      <c r="F180" s="8" t="s">
        <v>1117</v>
      </c>
      <c r="G180" s="6" t="s">
        <v>37</v>
      </c>
      <c r="H180" s="6" t="s">
        <v>84</v>
      </c>
      <c r="I180" s="8" t="s">
        <v>185</v>
      </c>
      <c r="J180" s="9">
        <v>1</v>
      </c>
      <c r="K180" s="9">
        <v>479</v>
      </c>
      <c r="L180" s="9">
        <v>2023</v>
      </c>
      <c r="M180" s="8" t="s">
        <v>1118</v>
      </c>
      <c r="N180" s="8" t="s">
        <v>40</v>
      </c>
      <c r="O180" s="8" t="s">
        <v>41</v>
      </c>
      <c r="P180" s="6" t="s">
        <v>95</v>
      </c>
      <c r="Q180" s="8" t="s">
        <v>76</v>
      </c>
      <c r="R180" s="10" t="s">
        <v>168</v>
      </c>
      <c r="S180" s="11" t="s">
        <v>628</v>
      </c>
      <c r="T180" s="6"/>
      <c r="U180" s="28" t="str">
        <f>HYPERLINK("https://media.infra-m.ru/1895/1895088/cover/1895088.jpg", "Обложка")</f>
        <v>Обложка</v>
      </c>
      <c r="V180" s="28" t="str">
        <f>HYPERLINK("https://znanium.com/catalog/product/1895088", "Ознакомиться")</f>
        <v>Ознакомиться</v>
      </c>
      <c r="W180" s="8" t="s">
        <v>1119</v>
      </c>
      <c r="X180" s="6"/>
      <c r="Y180" s="6"/>
      <c r="Z180" s="6"/>
      <c r="AA180" s="6" t="s">
        <v>1120</v>
      </c>
    </row>
    <row r="181" spans="1:27" s="4" customFormat="1" ht="51.95" customHeight="1">
      <c r="A181" s="5">
        <v>0</v>
      </c>
      <c r="B181" s="6" t="s">
        <v>1121</v>
      </c>
      <c r="C181" s="13">
        <v>1420</v>
      </c>
      <c r="D181" s="8" t="s">
        <v>1122</v>
      </c>
      <c r="E181" s="8" t="s">
        <v>1123</v>
      </c>
      <c r="F181" s="8" t="s">
        <v>1124</v>
      </c>
      <c r="G181" s="6" t="s">
        <v>58</v>
      </c>
      <c r="H181" s="6" t="s">
        <v>52</v>
      </c>
      <c r="I181" s="8" t="s">
        <v>185</v>
      </c>
      <c r="J181" s="9">
        <v>1</v>
      </c>
      <c r="K181" s="9">
        <v>415</v>
      </c>
      <c r="L181" s="9">
        <v>2019</v>
      </c>
      <c r="M181" s="8" t="s">
        <v>1125</v>
      </c>
      <c r="N181" s="8" t="s">
        <v>40</v>
      </c>
      <c r="O181" s="8" t="s">
        <v>41</v>
      </c>
      <c r="P181" s="6" t="s">
        <v>95</v>
      </c>
      <c r="Q181" s="8" t="s">
        <v>76</v>
      </c>
      <c r="R181" s="10" t="s">
        <v>235</v>
      </c>
      <c r="S181" s="11" t="s">
        <v>1126</v>
      </c>
      <c r="T181" s="6"/>
      <c r="U181" s="28" t="str">
        <f>HYPERLINK("https://media.infra-m.ru/1018/1018044/cover/1018044.jpg", "Обложка")</f>
        <v>Обложка</v>
      </c>
      <c r="V181" s="28" t="str">
        <f>HYPERLINK("https://znanium.com/catalog/product/1018044", "Ознакомиться")</f>
        <v>Ознакомиться</v>
      </c>
      <c r="W181" s="8" t="s">
        <v>712</v>
      </c>
      <c r="X181" s="6"/>
      <c r="Y181" s="6"/>
      <c r="Z181" s="6"/>
      <c r="AA181" s="6" t="s">
        <v>1127</v>
      </c>
    </row>
    <row r="182" spans="1:27" s="4" customFormat="1" ht="44.1" customHeight="1">
      <c r="A182" s="5">
        <v>0</v>
      </c>
      <c r="B182" s="6" t="s">
        <v>1128</v>
      </c>
      <c r="C182" s="13">
        <v>1440</v>
      </c>
      <c r="D182" s="8" t="s">
        <v>1129</v>
      </c>
      <c r="E182" s="8" t="s">
        <v>1130</v>
      </c>
      <c r="F182" s="8" t="s">
        <v>1131</v>
      </c>
      <c r="G182" s="6" t="s">
        <v>51</v>
      </c>
      <c r="H182" s="6" t="s">
        <v>52</v>
      </c>
      <c r="I182" s="8" t="s">
        <v>251</v>
      </c>
      <c r="J182" s="9">
        <v>1</v>
      </c>
      <c r="K182" s="9">
        <v>320</v>
      </c>
      <c r="L182" s="9">
        <v>2023</v>
      </c>
      <c r="M182" s="8" t="s">
        <v>1132</v>
      </c>
      <c r="N182" s="8" t="s">
        <v>40</v>
      </c>
      <c r="O182" s="8" t="s">
        <v>41</v>
      </c>
      <c r="P182" s="6" t="s">
        <v>1133</v>
      </c>
      <c r="Q182" s="8" t="s">
        <v>43</v>
      </c>
      <c r="R182" s="10" t="s">
        <v>1134</v>
      </c>
      <c r="S182" s="11"/>
      <c r="T182" s="6"/>
      <c r="U182" s="28" t="str">
        <f>HYPERLINK("https://media.infra-m.ru/2038/2038250/cover/2038250.jpg", "Обложка")</f>
        <v>Обложка</v>
      </c>
      <c r="V182" s="28" t="str">
        <f>HYPERLINK("https://znanium.com/catalog/product/1082925", "Ознакомиться")</f>
        <v>Ознакомиться</v>
      </c>
      <c r="W182" s="8" t="s">
        <v>1135</v>
      </c>
      <c r="X182" s="6"/>
      <c r="Y182" s="6"/>
      <c r="Z182" s="6"/>
      <c r="AA182" s="6" t="s">
        <v>289</v>
      </c>
    </row>
    <row r="183" spans="1:27" s="4" customFormat="1" ht="51.95" customHeight="1">
      <c r="A183" s="5">
        <v>0</v>
      </c>
      <c r="B183" s="6" t="s">
        <v>1136</v>
      </c>
      <c r="C183" s="13">
        <v>2710</v>
      </c>
      <c r="D183" s="8" t="s">
        <v>1137</v>
      </c>
      <c r="E183" s="8" t="s">
        <v>1138</v>
      </c>
      <c r="F183" s="8" t="s">
        <v>1139</v>
      </c>
      <c r="G183" s="6" t="s">
        <v>58</v>
      </c>
      <c r="H183" s="6" t="s">
        <v>84</v>
      </c>
      <c r="I183" s="8" t="s">
        <v>1140</v>
      </c>
      <c r="J183" s="9">
        <v>1</v>
      </c>
      <c r="K183" s="9">
        <v>602</v>
      </c>
      <c r="L183" s="9">
        <v>2023</v>
      </c>
      <c r="M183" s="8" t="s">
        <v>1141</v>
      </c>
      <c r="N183" s="8" t="s">
        <v>40</v>
      </c>
      <c r="O183" s="8" t="s">
        <v>41</v>
      </c>
      <c r="P183" s="6" t="s">
        <v>95</v>
      </c>
      <c r="Q183" s="8" t="s">
        <v>680</v>
      </c>
      <c r="R183" s="10" t="s">
        <v>1142</v>
      </c>
      <c r="S183" s="11" t="s">
        <v>1143</v>
      </c>
      <c r="T183" s="6"/>
      <c r="U183" s="28" t="str">
        <f>HYPERLINK("https://media.infra-m.ru/1186/1186576/cover/1186576.jpg", "Обложка")</f>
        <v>Обложка</v>
      </c>
      <c r="V183" s="28" t="str">
        <f>HYPERLINK("https://znanium.com/catalog/product/1186576", "Ознакомиться")</f>
        <v>Ознакомиться</v>
      </c>
      <c r="W183" s="8" t="s">
        <v>1108</v>
      </c>
      <c r="X183" s="6" t="s">
        <v>1144</v>
      </c>
      <c r="Y183" s="6"/>
      <c r="Z183" s="6"/>
      <c r="AA183" s="6" t="s">
        <v>137</v>
      </c>
    </row>
    <row r="184" spans="1:27" s="4" customFormat="1" ht="51.95" customHeight="1">
      <c r="A184" s="5">
        <v>0</v>
      </c>
      <c r="B184" s="6" t="s">
        <v>1145</v>
      </c>
      <c r="C184" s="13">
        <v>2350</v>
      </c>
      <c r="D184" s="8" t="s">
        <v>1146</v>
      </c>
      <c r="E184" s="8" t="s">
        <v>1147</v>
      </c>
      <c r="F184" s="8" t="s">
        <v>1148</v>
      </c>
      <c r="G184" s="6" t="s">
        <v>58</v>
      </c>
      <c r="H184" s="6" t="s">
        <v>84</v>
      </c>
      <c r="I184" s="8" t="s">
        <v>120</v>
      </c>
      <c r="J184" s="9">
        <v>1</v>
      </c>
      <c r="K184" s="9">
        <v>515</v>
      </c>
      <c r="L184" s="9">
        <v>2023</v>
      </c>
      <c r="M184" s="8" t="s">
        <v>1149</v>
      </c>
      <c r="N184" s="8" t="s">
        <v>40</v>
      </c>
      <c r="O184" s="8" t="s">
        <v>41</v>
      </c>
      <c r="P184" s="6" t="s">
        <v>95</v>
      </c>
      <c r="Q184" s="8" t="s">
        <v>680</v>
      </c>
      <c r="R184" s="10" t="s">
        <v>113</v>
      </c>
      <c r="S184" s="11" t="s">
        <v>1150</v>
      </c>
      <c r="T184" s="6"/>
      <c r="U184" s="28" t="str">
        <f>HYPERLINK("https://media.infra-m.ru/2007/2007837/cover/2007837.jpg", "Обложка")</f>
        <v>Обложка</v>
      </c>
      <c r="V184" s="28" t="str">
        <f>HYPERLINK("https://znanium.com/catalog/product/1904035", "Ознакомиться")</f>
        <v>Ознакомиться</v>
      </c>
      <c r="W184" s="8" t="s">
        <v>897</v>
      </c>
      <c r="X184" s="6"/>
      <c r="Y184" s="6"/>
      <c r="Z184" s="6"/>
      <c r="AA184" s="6" t="s">
        <v>62</v>
      </c>
    </row>
    <row r="185" spans="1:27" s="4" customFormat="1" ht="51.95" customHeight="1">
      <c r="A185" s="5">
        <v>0</v>
      </c>
      <c r="B185" s="6" t="s">
        <v>1151</v>
      </c>
      <c r="C185" s="7">
        <v>660</v>
      </c>
      <c r="D185" s="8" t="s">
        <v>1152</v>
      </c>
      <c r="E185" s="8" t="s">
        <v>1153</v>
      </c>
      <c r="F185" s="8" t="s">
        <v>1154</v>
      </c>
      <c r="G185" s="6" t="s">
        <v>51</v>
      </c>
      <c r="H185" s="6" t="s">
        <v>52</v>
      </c>
      <c r="I185" s="8"/>
      <c r="J185" s="9">
        <v>1</v>
      </c>
      <c r="K185" s="9">
        <v>193</v>
      </c>
      <c r="L185" s="9">
        <v>2020</v>
      </c>
      <c r="M185" s="8" t="s">
        <v>1155</v>
      </c>
      <c r="N185" s="8" t="s">
        <v>40</v>
      </c>
      <c r="O185" s="8" t="s">
        <v>41</v>
      </c>
      <c r="P185" s="6" t="s">
        <v>75</v>
      </c>
      <c r="Q185" s="8" t="s">
        <v>76</v>
      </c>
      <c r="R185" s="10" t="s">
        <v>207</v>
      </c>
      <c r="S185" s="11"/>
      <c r="T185" s="6"/>
      <c r="U185" s="28" t="str">
        <f>HYPERLINK("https://media.infra-m.ru/1039/1039296/cover/1039296.jpg", "Обложка")</f>
        <v>Обложка</v>
      </c>
      <c r="V185" s="28" t="str">
        <f>HYPERLINK("https://znanium.com/catalog/product/1039296", "Ознакомиться")</f>
        <v>Ознакомиться</v>
      </c>
      <c r="W185" s="8"/>
      <c r="X185" s="6"/>
      <c r="Y185" s="6"/>
      <c r="Z185" s="6"/>
      <c r="AA185" s="6" t="s">
        <v>46</v>
      </c>
    </row>
    <row r="186" spans="1:27" s="4" customFormat="1" ht="51.95" customHeight="1">
      <c r="A186" s="5">
        <v>0</v>
      </c>
      <c r="B186" s="6" t="s">
        <v>1156</v>
      </c>
      <c r="C186" s="13">
        <v>2630</v>
      </c>
      <c r="D186" s="8" t="s">
        <v>1157</v>
      </c>
      <c r="E186" s="8" t="s">
        <v>1153</v>
      </c>
      <c r="F186" s="8" t="s">
        <v>1158</v>
      </c>
      <c r="G186" s="6" t="s">
        <v>37</v>
      </c>
      <c r="H186" s="6" t="s">
        <v>84</v>
      </c>
      <c r="I186" s="8" t="s">
        <v>120</v>
      </c>
      <c r="J186" s="9">
        <v>1</v>
      </c>
      <c r="K186" s="9">
        <v>583</v>
      </c>
      <c r="L186" s="9">
        <v>2023</v>
      </c>
      <c r="M186" s="8" t="s">
        <v>1159</v>
      </c>
      <c r="N186" s="8" t="s">
        <v>40</v>
      </c>
      <c r="O186" s="8" t="s">
        <v>41</v>
      </c>
      <c r="P186" s="6" t="s">
        <v>95</v>
      </c>
      <c r="Q186" s="8" t="s">
        <v>680</v>
      </c>
      <c r="R186" s="10" t="s">
        <v>1160</v>
      </c>
      <c r="S186" s="11" t="s">
        <v>1161</v>
      </c>
      <c r="T186" s="6"/>
      <c r="U186" s="28" t="str">
        <f>HYPERLINK("https://media.infra-m.ru/2007/2007803/cover/2007803.jpg", "Обложка")</f>
        <v>Обложка</v>
      </c>
      <c r="V186" s="28" t="str">
        <f>HYPERLINK("https://znanium.com/catalog/product/1915702", "Ознакомиться")</f>
        <v>Ознакомиться</v>
      </c>
      <c r="W186" s="8" t="s">
        <v>897</v>
      </c>
      <c r="X186" s="6"/>
      <c r="Y186" s="6"/>
      <c r="Z186" s="6"/>
      <c r="AA186" s="6" t="s">
        <v>343</v>
      </c>
    </row>
    <row r="187" spans="1:27" s="4" customFormat="1" ht="51.95" customHeight="1">
      <c r="A187" s="5">
        <v>0</v>
      </c>
      <c r="B187" s="6" t="s">
        <v>1162</v>
      </c>
      <c r="C187" s="7">
        <v>699.9</v>
      </c>
      <c r="D187" s="8" t="s">
        <v>1163</v>
      </c>
      <c r="E187" s="8" t="s">
        <v>1164</v>
      </c>
      <c r="F187" s="8" t="s">
        <v>1165</v>
      </c>
      <c r="G187" s="6"/>
      <c r="H187" s="6" t="s">
        <v>38</v>
      </c>
      <c r="I187" s="8" t="s">
        <v>1166</v>
      </c>
      <c r="J187" s="9">
        <v>8</v>
      </c>
      <c r="K187" s="9">
        <v>608</v>
      </c>
      <c r="L187" s="9">
        <v>2015</v>
      </c>
      <c r="M187" s="8" t="s">
        <v>1167</v>
      </c>
      <c r="N187" s="8" t="s">
        <v>40</v>
      </c>
      <c r="O187" s="8" t="s">
        <v>41</v>
      </c>
      <c r="P187" s="6" t="s">
        <v>95</v>
      </c>
      <c r="Q187" s="8" t="s">
        <v>96</v>
      </c>
      <c r="R187" s="10" t="s">
        <v>181</v>
      </c>
      <c r="S187" s="11" t="s">
        <v>1168</v>
      </c>
      <c r="T187" s="6"/>
      <c r="U187" s="12"/>
      <c r="V187" s="28" t="str">
        <f>HYPERLINK("https://znanium.com/catalog/product/1904647", "Ознакомиться")</f>
        <v>Ознакомиться</v>
      </c>
      <c r="W187" s="8" t="s">
        <v>114</v>
      </c>
      <c r="X187" s="6"/>
      <c r="Y187" s="6"/>
      <c r="Z187" s="6"/>
      <c r="AA187" s="6" t="s">
        <v>848</v>
      </c>
    </row>
    <row r="188" spans="1:27" s="4" customFormat="1" ht="21.95" customHeight="1">
      <c r="A188" s="5">
        <v>0</v>
      </c>
      <c r="B188" s="6" t="s">
        <v>1169</v>
      </c>
      <c r="C188" s="7">
        <v>49.9</v>
      </c>
      <c r="D188" s="8" t="s">
        <v>1170</v>
      </c>
      <c r="E188" s="8" t="s">
        <v>1171</v>
      </c>
      <c r="F188" s="8"/>
      <c r="G188" s="6" t="s">
        <v>26</v>
      </c>
      <c r="H188" s="6" t="s">
        <v>52</v>
      </c>
      <c r="I188" s="8" t="s">
        <v>1172</v>
      </c>
      <c r="J188" s="9">
        <v>30</v>
      </c>
      <c r="K188" s="9">
        <v>40</v>
      </c>
      <c r="L188" s="9">
        <v>2015</v>
      </c>
      <c r="M188" s="8" t="s">
        <v>1173</v>
      </c>
      <c r="N188" s="8" t="s">
        <v>40</v>
      </c>
      <c r="O188" s="8" t="s">
        <v>41</v>
      </c>
      <c r="P188" s="6" t="s">
        <v>228</v>
      </c>
      <c r="Q188" s="8" t="s">
        <v>76</v>
      </c>
      <c r="R188" s="10"/>
      <c r="S188" s="11"/>
      <c r="T188" s="6"/>
      <c r="U188" s="12"/>
      <c r="V188" s="12"/>
      <c r="W188" s="8"/>
      <c r="X188" s="6"/>
      <c r="Y188" s="6"/>
      <c r="Z188" s="6"/>
      <c r="AA188" s="6" t="s">
        <v>1174</v>
      </c>
    </row>
    <row r="189" spans="1:27" s="4" customFormat="1" ht="21.95" customHeight="1">
      <c r="A189" s="5">
        <v>0</v>
      </c>
      <c r="B189" s="6" t="s">
        <v>1175</v>
      </c>
      <c r="C189" s="7">
        <v>139.9</v>
      </c>
      <c r="D189" s="8" t="s">
        <v>1176</v>
      </c>
      <c r="E189" s="8" t="s">
        <v>1177</v>
      </c>
      <c r="F189" s="8"/>
      <c r="G189" s="6" t="s">
        <v>26</v>
      </c>
      <c r="H189" s="6" t="s">
        <v>52</v>
      </c>
      <c r="I189" s="8" t="s">
        <v>1178</v>
      </c>
      <c r="J189" s="9">
        <v>80</v>
      </c>
      <c r="K189" s="9">
        <v>240</v>
      </c>
      <c r="L189" s="9">
        <v>2016</v>
      </c>
      <c r="M189" s="8" t="s">
        <v>1179</v>
      </c>
      <c r="N189" s="8" t="s">
        <v>40</v>
      </c>
      <c r="O189" s="8" t="s">
        <v>41</v>
      </c>
      <c r="P189" s="6" t="s">
        <v>228</v>
      </c>
      <c r="Q189" s="8" t="s">
        <v>76</v>
      </c>
      <c r="R189" s="10"/>
      <c r="S189" s="11"/>
      <c r="T189" s="6"/>
      <c r="U189" s="12"/>
      <c r="V189" s="12"/>
      <c r="W189" s="8"/>
      <c r="X189" s="6"/>
      <c r="Y189" s="6"/>
      <c r="Z189" s="6"/>
      <c r="AA189" s="6" t="s">
        <v>1180</v>
      </c>
    </row>
    <row r="190" spans="1:27" s="4" customFormat="1" ht="51.95" customHeight="1">
      <c r="A190" s="5">
        <v>0</v>
      </c>
      <c r="B190" s="6" t="s">
        <v>1181</v>
      </c>
      <c r="C190" s="13">
        <v>2994.9</v>
      </c>
      <c r="D190" s="8" t="s">
        <v>1182</v>
      </c>
      <c r="E190" s="8" t="s">
        <v>1183</v>
      </c>
      <c r="F190" s="8" t="s">
        <v>1184</v>
      </c>
      <c r="G190" s="6" t="s">
        <v>37</v>
      </c>
      <c r="H190" s="6" t="s">
        <v>38</v>
      </c>
      <c r="I190" s="8" t="s">
        <v>1166</v>
      </c>
      <c r="J190" s="9">
        <v>1</v>
      </c>
      <c r="K190" s="9">
        <v>688</v>
      </c>
      <c r="L190" s="9">
        <v>2021</v>
      </c>
      <c r="M190" s="8" t="s">
        <v>1185</v>
      </c>
      <c r="N190" s="8" t="s">
        <v>40</v>
      </c>
      <c r="O190" s="8" t="s">
        <v>41</v>
      </c>
      <c r="P190" s="6" t="s">
        <v>95</v>
      </c>
      <c r="Q190" s="8" t="s">
        <v>96</v>
      </c>
      <c r="R190" s="10" t="s">
        <v>181</v>
      </c>
      <c r="S190" s="11" t="s">
        <v>1186</v>
      </c>
      <c r="T190" s="6"/>
      <c r="U190" s="28" t="str">
        <f>HYPERLINK("https://media.infra-m.ru/1905/1905752/cover/1905752.jpg", "Обложка")</f>
        <v>Обложка</v>
      </c>
      <c r="V190" s="28" t="str">
        <f>HYPERLINK("https://znanium.com/catalog/product/1904647", "Ознакомиться")</f>
        <v>Ознакомиться</v>
      </c>
      <c r="W190" s="8" t="s">
        <v>114</v>
      </c>
      <c r="X190" s="6"/>
      <c r="Y190" s="6"/>
      <c r="Z190" s="6"/>
      <c r="AA190" s="6" t="s">
        <v>1187</v>
      </c>
    </row>
    <row r="191" spans="1:27" s="4" customFormat="1" ht="51.95" customHeight="1">
      <c r="A191" s="5">
        <v>0</v>
      </c>
      <c r="B191" s="6" t="s">
        <v>1188</v>
      </c>
      <c r="C191" s="13">
        <v>3060</v>
      </c>
      <c r="D191" s="8" t="s">
        <v>1189</v>
      </c>
      <c r="E191" s="8" t="s">
        <v>1190</v>
      </c>
      <c r="F191" s="8" t="s">
        <v>1191</v>
      </c>
      <c r="G191" s="6" t="s">
        <v>37</v>
      </c>
      <c r="H191" s="6" t="s">
        <v>38</v>
      </c>
      <c r="I191" s="8" t="s">
        <v>1166</v>
      </c>
      <c r="J191" s="9">
        <v>1</v>
      </c>
      <c r="K191" s="9">
        <v>680</v>
      </c>
      <c r="L191" s="9">
        <v>2023</v>
      </c>
      <c r="M191" s="8" t="s">
        <v>1192</v>
      </c>
      <c r="N191" s="8" t="s">
        <v>40</v>
      </c>
      <c r="O191" s="8" t="s">
        <v>41</v>
      </c>
      <c r="P191" s="6" t="s">
        <v>95</v>
      </c>
      <c r="Q191" s="8" t="s">
        <v>96</v>
      </c>
      <c r="R191" s="10" t="s">
        <v>181</v>
      </c>
      <c r="S191" s="11" t="s">
        <v>1186</v>
      </c>
      <c r="T191" s="6"/>
      <c r="U191" s="28" t="str">
        <f>HYPERLINK("https://media.infra-m.ru/1938/1938034/cover/1938034.jpg", "Обложка")</f>
        <v>Обложка</v>
      </c>
      <c r="V191" s="28" t="str">
        <f>HYPERLINK("https://znanium.com/catalog/product/1904647", "Ознакомиться")</f>
        <v>Ознакомиться</v>
      </c>
      <c r="W191" s="8" t="s">
        <v>114</v>
      </c>
      <c r="X191" s="6"/>
      <c r="Y191" s="6"/>
      <c r="Z191" s="6"/>
      <c r="AA191" s="6" t="s">
        <v>1193</v>
      </c>
    </row>
    <row r="192" spans="1:27" s="4" customFormat="1" ht="51.95" customHeight="1">
      <c r="A192" s="5">
        <v>0</v>
      </c>
      <c r="B192" s="6" t="s">
        <v>1194</v>
      </c>
      <c r="C192" s="13">
        <v>2004.9</v>
      </c>
      <c r="D192" s="8" t="s">
        <v>1195</v>
      </c>
      <c r="E192" s="8" t="s">
        <v>1196</v>
      </c>
      <c r="F192" s="8" t="s">
        <v>1197</v>
      </c>
      <c r="G192" s="6" t="s">
        <v>37</v>
      </c>
      <c r="H192" s="6" t="s">
        <v>84</v>
      </c>
      <c r="I192" s="8" t="s">
        <v>1140</v>
      </c>
      <c r="J192" s="9">
        <v>1</v>
      </c>
      <c r="K192" s="9">
        <v>447</v>
      </c>
      <c r="L192" s="9">
        <v>2023</v>
      </c>
      <c r="M192" s="8" t="s">
        <v>1198</v>
      </c>
      <c r="N192" s="8" t="s">
        <v>40</v>
      </c>
      <c r="O192" s="8" t="s">
        <v>41</v>
      </c>
      <c r="P192" s="6" t="s">
        <v>95</v>
      </c>
      <c r="Q192" s="8" t="s">
        <v>1199</v>
      </c>
      <c r="R192" s="10" t="s">
        <v>1200</v>
      </c>
      <c r="S192" s="11" t="s">
        <v>1143</v>
      </c>
      <c r="T192" s="6"/>
      <c r="U192" s="28" t="str">
        <f>HYPERLINK("https://media.infra-m.ru/2012/2012677/cover/2012677.jpg", "Обложка")</f>
        <v>Обложка</v>
      </c>
      <c r="V192" s="28" t="str">
        <f>HYPERLINK("https://znanium.com/catalog/product/1921408", "Ознакомиться")</f>
        <v>Ознакомиться</v>
      </c>
      <c r="W192" s="8" t="s">
        <v>1108</v>
      </c>
      <c r="X192" s="6"/>
      <c r="Y192" s="6"/>
      <c r="Z192" s="6"/>
      <c r="AA192" s="6" t="s">
        <v>143</v>
      </c>
    </row>
    <row r="193" spans="1:27" s="4" customFormat="1" ht="51.95" customHeight="1">
      <c r="A193" s="5">
        <v>0</v>
      </c>
      <c r="B193" s="6" t="s">
        <v>1201</v>
      </c>
      <c r="C193" s="13">
        <v>1370</v>
      </c>
      <c r="D193" s="8" t="s">
        <v>1202</v>
      </c>
      <c r="E193" s="8" t="s">
        <v>1203</v>
      </c>
      <c r="F193" s="8" t="s">
        <v>1204</v>
      </c>
      <c r="G193" s="6" t="s">
        <v>37</v>
      </c>
      <c r="H193" s="6" t="s">
        <v>192</v>
      </c>
      <c r="I193" s="8" t="s">
        <v>120</v>
      </c>
      <c r="J193" s="9">
        <v>1</v>
      </c>
      <c r="K193" s="9">
        <v>400</v>
      </c>
      <c r="L193" s="9">
        <v>2020</v>
      </c>
      <c r="M193" s="8" t="s">
        <v>1205</v>
      </c>
      <c r="N193" s="8" t="s">
        <v>40</v>
      </c>
      <c r="O193" s="8" t="s">
        <v>41</v>
      </c>
      <c r="P193" s="6" t="s">
        <v>95</v>
      </c>
      <c r="Q193" s="8" t="s">
        <v>76</v>
      </c>
      <c r="R193" s="10" t="s">
        <v>1200</v>
      </c>
      <c r="S193" s="11" t="s">
        <v>1206</v>
      </c>
      <c r="T193" s="6"/>
      <c r="U193" s="28" t="str">
        <f>HYPERLINK("https://media.infra-m.ru/1066/1066009/cover/1066009.jpg", "Обложка")</f>
        <v>Обложка</v>
      </c>
      <c r="V193" s="28" t="str">
        <f>HYPERLINK("https://znanium.com/catalog/product/1921408", "Ознакомиться")</f>
        <v>Ознакомиться</v>
      </c>
      <c r="W193" s="8" t="s">
        <v>1108</v>
      </c>
      <c r="X193" s="6"/>
      <c r="Y193" s="6"/>
      <c r="Z193" s="6"/>
      <c r="AA193" s="6" t="s">
        <v>88</v>
      </c>
    </row>
    <row r="194" spans="1:27" s="4" customFormat="1" ht="51.95" customHeight="1">
      <c r="A194" s="5">
        <v>0</v>
      </c>
      <c r="B194" s="6" t="s">
        <v>1207</v>
      </c>
      <c r="C194" s="13">
        <v>2524</v>
      </c>
      <c r="D194" s="8" t="s">
        <v>1208</v>
      </c>
      <c r="E194" s="8" t="s">
        <v>1203</v>
      </c>
      <c r="F194" s="8" t="s">
        <v>1139</v>
      </c>
      <c r="G194" s="6" t="s">
        <v>58</v>
      </c>
      <c r="H194" s="6" t="s">
        <v>192</v>
      </c>
      <c r="I194" s="8" t="s">
        <v>185</v>
      </c>
      <c r="J194" s="9">
        <v>1</v>
      </c>
      <c r="K194" s="9">
        <v>559</v>
      </c>
      <c r="L194" s="9">
        <v>2023</v>
      </c>
      <c r="M194" s="8" t="s">
        <v>1209</v>
      </c>
      <c r="N194" s="8" t="s">
        <v>40</v>
      </c>
      <c r="O194" s="8" t="s">
        <v>41</v>
      </c>
      <c r="P194" s="6" t="s">
        <v>95</v>
      </c>
      <c r="Q194" s="8" t="s">
        <v>76</v>
      </c>
      <c r="R194" s="10" t="s">
        <v>1142</v>
      </c>
      <c r="S194" s="11" t="s">
        <v>1206</v>
      </c>
      <c r="T194" s="6"/>
      <c r="U194" s="28" t="str">
        <f>HYPERLINK("https://media.infra-m.ru/2012/2012681/cover/2012681.jpg", "Обложка")</f>
        <v>Обложка</v>
      </c>
      <c r="V194" s="28" t="str">
        <f>HYPERLINK("https://znanium.com/catalog/product/1186576", "Ознакомиться")</f>
        <v>Ознакомиться</v>
      </c>
      <c r="W194" s="8" t="s">
        <v>1108</v>
      </c>
      <c r="X194" s="6"/>
      <c r="Y194" s="6"/>
      <c r="Z194" s="6"/>
      <c r="AA194" s="6" t="s">
        <v>88</v>
      </c>
    </row>
    <row r="195" spans="1:27" s="4" customFormat="1" ht="51.95" customHeight="1">
      <c r="A195" s="5">
        <v>0</v>
      </c>
      <c r="B195" s="6" t="s">
        <v>1210</v>
      </c>
      <c r="C195" s="13">
        <v>2800</v>
      </c>
      <c r="D195" s="8" t="s">
        <v>1211</v>
      </c>
      <c r="E195" s="8" t="s">
        <v>1212</v>
      </c>
      <c r="F195" s="8" t="s">
        <v>1213</v>
      </c>
      <c r="G195" s="6" t="s">
        <v>37</v>
      </c>
      <c r="H195" s="6" t="s">
        <v>84</v>
      </c>
      <c r="I195" s="8" t="s">
        <v>1214</v>
      </c>
      <c r="J195" s="9">
        <v>1</v>
      </c>
      <c r="K195" s="9">
        <v>626</v>
      </c>
      <c r="L195" s="9">
        <v>2023</v>
      </c>
      <c r="M195" s="8" t="s">
        <v>1215</v>
      </c>
      <c r="N195" s="8" t="s">
        <v>40</v>
      </c>
      <c r="O195" s="8" t="s">
        <v>41</v>
      </c>
      <c r="P195" s="6" t="s">
        <v>95</v>
      </c>
      <c r="Q195" s="8" t="s">
        <v>680</v>
      </c>
      <c r="R195" s="10" t="s">
        <v>77</v>
      </c>
      <c r="S195" s="11" t="s">
        <v>1216</v>
      </c>
      <c r="T195" s="6"/>
      <c r="U195" s="28" t="str">
        <f>HYPERLINK("https://media.infra-m.ru/1925/1925513/cover/1925513.jpg", "Обложка")</f>
        <v>Обложка</v>
      </c>
      <c r="V195" s="28" t="str">
        <f>HYPERLINK("https://znanium.com/catalog/product/1925513", "Ознакомиться")</f>
        <v>Ознакомиться</v>
      </c>
      <c r="W195" s="8" t="s">
        <v>334</v>
      </c>
      <c r="X195" s="6"/>
      <c r="Y195" s="6"/>
      <c r="Z195" s="6"/>
      <c r="AA195" s="6" t="s">
        <v>836</v>
      </c>
    </row>
    <row r="196" spans="1:27" s="4" customFormat="1" ht="51.95" customHeight="1">
      <c r="A196" s="5">
        <v>0</v>
      </c>
      <c r="B196" s="6" t="s">
        <v>1217</v>
      </c>
      <c r="C196" s="13">
        <v>1200</v>
      </c>
      <c r="D196" s="8" t="s">
        <v>1218</v>
      </c>
      <c r="E196" s="8" t="s">
        <v>1183</v>
      </c>
      <c r="F196" s="8" t="s">
        <v>1219</v>
      </c>
      <c r="G196" s="6" t="s">
        <v>58</v>
      </c>
      <c r="H196" s="6" t="s">
        <v>52</v>
      </c>
      <c r="I196" s="8" t="s">
        <v>185</v>
      </c>
      <c r="J196" s="9">
        <v>1</v>
      </c>
      <c r="K196" s="9">
        <v>400</v>
      </c>
      <c r="L196" s="9">
        <v>2018</v>
      </c>
      <c r="M196" s="8" t="s">
        <v>1220</v>
      </c>
      <c r="N196" s="8" t="s">
        <v>40</v>
      </c>
      <c r="O196" s="8" t="s">
        <v>41</v>
      </c>
      <c r="P196" s="6" t="s">
        <v>75</v>
      </c>
      <c r="Q196" s="8" t="s">
        <v>76</v>
      </c>
      <c r="R196" s="10" t="s">
        <v>1221</v>
      </c>
      <c r="S196" s="11" t="s">
        <v>1222</v>
      </c>
      <c r="T196" s="6"/>
      <c r="U196" s="28" t="str">
        <f>HYPERLINK("https://media.infra-m.ru/0976/0976270/cover/976270.jpg", "Обложка")</f>
        <v>Обложка</v>
      </c>
      <c r="V196" s="28" t="str">
        <f>HYPERLINK("https://znanium.com/catalog/product/1021900", "Ознакомиться")</f>
        <v>Ознакомиться</v>
      </c>
      <c r="W196" s="8" t="s">
        <v>158</v>
      </c>
      <c r="X196" s="6"/>
      <c r="Y196" s="6"/>
      <c r="Z196" s="6"/>
      <c r="AA196" s="6" t="s">
        <v>1223</v>
      </c>
    </row>
    <row r="197" spans="1:27" s="4" customFormat="1" ht="51.95" customHeight="1">
      <c r="A197" s="5">
        <v>0</v>
      </c>
      <c r="B197" s="6" t="s">
        <v>1224</v>
      </c>
      <c r="C197" s="13">
        <v>1854</v>
      </c>
      <c r="D197" s="8" t="s">
        <v>1225</v>
      </c>
      <c r="E197" s="8" t="s">
        <v>1190</v>
      </c>
      <c r="F197" s="8" t="s">
        <v>1219</v>
      </c>
      <c r="G197" s="6" t="s">
        <v>58</v>
      </c>
      <c r="H197" s="6" t="s">
        <v>52</v>
      </c>
      <c r="I197" s="8" t="s">
        <v>120</v>
      </c>
      <c r="J197" s="9">
        <v>1</v>
      </c>
      <c r="K197" s="9">
        <v>404</v>
      </c>
      <c r="L197" s="9">
        <v>2023</v>
      </c>
      <c r="M197" s="8" t="s">
        <v>1226</v>
      </c>
      <c r="N197" s="8" t="s">
        <v>40</v>
      </c>
      <c r="O197" s="8" t="s">
        <v>41</v>
      </c>
      <c r="P197" s="6" t="s">
        <v>75</v>
      </c>
      <c r="Q197" s="8" t="s">
        <v>76</v>
      </c>
      <c r="R197" s="10" t="s">
        <v>1221</v>
      </c>
      <c r="S197" s="11" t="s">
        <v>1222</v>
      </c>
      <c r="T197" s="6"/>
      <c r="U197" s="28" t="str">
        <f>HYPERLINK("https://media.infra-m.ru/1841/1841424/cover/1841424.jpg", "Обложка")</f>
        <v>Обложка</v>
      </c>
      <c r="V197" s="28" t="str">
        <f>HYPERLINK("https://znanium.com/catalog/product/1021900", "Ознакомиться")</f>
        <v>Ознакомиться</v>
      </c>
      <c r="W197" s="8" t="s">
        <v>158</v>
      </c>
      <c r="X197" s="6"/>
      <c r="Y197" s="6"/>
      <c r="Z197" s="6"/>
      <c r="AA197" s="6" t="s">
        <v>1227</v>
      </c>
    </row>
    <row r="198" spans="1:27" s="4" customFormat="1" ht="51.95" customHeight="1">
      <c r="A198" s="5">
        <v>0</v>
      </c>
      <c r="B198" s="6" t="s">
        <v>1228</v>
      </c>
      <c r="C198" s="7">
        <v>670</v>
      </c>
      <c r="D198" s="8" t="s">
        <v>1229</v>
      </c>
      <c r="E198" s="8" t="s">
        <v>1190</v>
      </c>
      <c r="F198" s="8" t="s">
        <v>1219</v>
      </c>
      <c r="G198" s="6" t="s">
        <v>51</v>
      </c>
      <c r="H198" s="6" t="s">
        <v>52</v>
      </c>
      <c r="I198" s="8" t="s">
        <v>1230</v>
      </c>
      <c r="J198" s="9">
        <v>1</v>
      </c>
      <c r="K198" s="9">
        <v>252</v>
      </c>
      <c r="L198" s="9">
        <v>2020</v>
      </c>
      <c r="M198" s="8" t="s">
        <v>1231</v>
      </c>
      <c r="N198" s="8" t="s">
        <v>40</v>
      </c>
      <c r="O198" s="8" t="s">
        <v>41</v>
      </c>
      <c r="P198" s="6" t="s">
        <v>75</v>
      </c>
      <c r="Q198" s="8" t="s">
        <v>76</v>
      </c>
      <c r="R198" s="10" t="s">
        <v>207</v>
      </c>
      <c r="S198" s="11"/>
      <c r="T198" s="6"/>
      <c r="U198" s="28" t="str">
        <f>HYPERLINK("https://media.infra-m.ru/1036/1036521/cover/1036521.jpg", "Обложка")</f>
        <v>Обложка</v>
      </c>
      <c r="V198" s="28" t="str">
        <f>HYPERLINK("https://znanium.com/catalog/product/1036521", "Ознакомиться")</f>
        <v>Ознакомиться</v>
      </c>
      <c r="W198" s="8" t="s">
        <v>158</v>
      </c>
      <c r="X198" s="6"/>
      <c r="Y198" s="6"/>
      <c r="Z198" s="6"/>
      <c r="AA198" s="6" t="s">
        <v>1120</v>
      </c>
    </row>
    <row r="199" spans="1:27" s="4" customFormat="1" ht="51.95" customHeight="1">
      <c r="A199" s="5">
        <v>0</v>
      </c>
      <c r="B199" s="6" t="s">
        <v>1232</v>
      </c>
      <c r="C199" s="7">
        <v>500</v>
      </c>
      <c r="D199" s="8" t="s">
        <v>1233</v>
      </c>
      <c r="E199" s="8" t="s">
        <v>1234</v>
      </c>
      <c r="F199" s="8" t="s">
        <v>1235</v>
      </c>
      <c r="G199" s="6" t="s">
        <v>51</v>
      </c>
      <c r="H199" s="6" t="s">
        <v>52</v>
      </c>
      <c r="I199" s="8"/>
      <c r="J199" s="9">
        <v>1</v>
      </c>
      <c r="K199" s="9">
        <v>234</v>
      </c>
      <c r="L199" s="9">
        <v>2020</v>
      </c>
      <c r="M199" s="8" t="s">
        <v>1236</v>
      </c>
      <c r="N199" s="8" t="s">
        <v>40</v>
      </c>
      <c r="O199" s="8" t="s">
        <v>41</v>
      </c>
      <c r="P199" s="6" t="s">
        <v>75</v>
      </c>
      <c r="Q199" s="8" t="s">
        <v>76</v>
      </c>
      <c r="R199" s="10" t="s">
        <v>142</v>
      </c>
      <c r="S199" s="11"/>
      <c r="T199" s="6"/>
      <c r="U199" s="28" t="str">
        <f>HYPERLINK("https://media.infra-m.ru/1071/1071776/cover/1071776.jpg", "Обложка")</f>
        <v>Обложка</v>
      </c>
      <c r="V199" s="28" t="str">
        <f>HYPERLINK("https://znanium.com/catalog/product/1071776", "Ознакомиться")</f>
        <v>Ознакомиться</v>
      </c>
      <c r="W199" s="8" t="s">
        <v>158</v>
      </c>
      <c r="X199" s="6"/>
      <c r="Y199" s="6"/>
      <c r="Z199" s="6"/>
      <c r="AA199" s="6" t="s">
        <v>1187</v>
      </c>
    </row>
    <row r="200" spans="1:27" s="4" customFormat="1" ht="42" customHeight="1">
      <c r="A200" s="5">
        <v>0</v>
      </c>
      <c r="B200" s="6" t="s">
        <v>1237</v>
      </c>
      <c r="C200" s="7">
        <v>560</v>
      </c>
      <c r="D200" s="8" t="s">
        <v>1238</v>
      </c>
      <c r="E200" s="8" t="s">
        <v>1239</v>
      </c>
      <c r="F200" s="8" t="s">
        <v>1240</v>
      </c>
      <c r="G200" s="6" t="s">
        <v>51</v>
      </c>
      <c r="H200" s="6" t="s">
        <v>38</v>
      </c>
      <c r="I200" s="8"/>
      <c r="J200" s="9">
        <v>1</v>
      </c>
      <c r="K200" s="9">
        <v>144</v>
      </c>
      <c r="L200" s="9">
        <v>2022</v>
      </c>
      <c r="M200" s="8" t="s">
        <v>1241</v>
      </c>
      <c r="N200" s="8" t="s">
        <v>40</v>
      </c>
      <c r="O200" s="8" t="s">
        <v>41</v>
      </c>
      <c r="P200" s="6" t="s">
        <v>42</v>
      </c>
      <c r="Q200" s="8" t="s">
        <v>43</v>
      </c>
      <c r="R200" s="10" t="s">
        <v>310</v>
      </c>
      <c r="S200" s="11"/>
      <c r="T200" s="6"/>
      <c r="U200" s="28" t="str">
        <f>HYPERLINK("https://media.infra-m.ru/1734/1734833/cover/1734833.jpg", "Обложка")</f>
        <v>Обложка</v>
      </c>
      <c r="V200" s="28" t="str">
        <f>HYPERLINK("https://znanium.com/catalog/product/1734833", "Ознакомиться")</f>
        <v>Ознакомиться</v>
      </c>
      <c r="W200" s="8" t="s">
        <v>1242</v>
      </c>
      <c r="X200" s="6"/>
      <c r="Y200" s="6"/>
      <c r="Z200" s="6"/>
      <c r="AA200" s="6" t="s">
        <v>289</v>
      </c>
    </row>
    <row r="201" spans="1:27" s="4" customFormat="1" ht="51.95" customHeight="1">
      <c r="A201" s="5">
        <v>0</v>
      </c>
      <c r="B201" s="6" t="s">
        <v>1243</v>
      </c>
      <c r="C201" s="7">
        <v>724.9</v>
      </c>
      <c r="D201" s="8" t="s">
        <v>1244</v>
      </c>
      <c r="E201" s="8" t="s">
        <v>1245</v>
      </c>
      <c r="F201" s="8" t="s">
        <v>1246</v>
      </c>
      <c r="G201" s="6" t="s">
        <v>58</v>
      </c>
      <c r="H201" s="6" t="s">
        <v>1247</v>
      </c>
      <c r="I201" s="8" t="s">
        <v>1248</v>
      </c>
      <c r="J201" s="9">
        <v>1</v>
      </c>
      <c r="K201" s="9">
        <v>160</v>
      </c>
      <c r="L201" s="9">
        <v>2023</v>
      </c>
      <c r="M201" s="8" t="s">
        <v>1249</v>
      </c>
      <c r="N201" s="8" t="s">
        <v>40</v>
      </c>
      <c r="O201" s="8" t="s">
        <v>41</v>
      </c>
      <c r="P201" s="6" t="s">
        <v>42</v>
      </c>
      <c r="Q201" s="8" t="s">
        <v>43</v>
      </c>
      <c r="R201" s="10" t="s">
        <v>1250</v>
      </c>
      <c r="S201" s="11"/>
      <c r="T201" s="6"/>
      <c r="U201" s="28" t="str">
        <f>HYPERLINK("https://media.infra-m.ru/1895/1895617/cover/1895617.jpg", "Обложка")</f>
        <v>Обложка</v>
      </c>
      <c r="V201" s="28" t="str">
        <f>HYPERLINK("https://znanium.com/catalog/product/1290318", "Ознакомиться")</f>
        <v>Ознакомиться</v>
      </c>
      <c r="W201" s="8" t="s">
        <v>334</v>
      </c>
      <c r="X201" s="6"/>
      <c r="Y201" s="6"/>
      <c r="Z201" s="6"/>
      <c r="AA201" s="6" t="s">
        <v>289</v>
      </c>
    </row>
    <row r="202" spans="1:27" s="4" customFormat="1" ht="44.1" customHeight="1">
      <c r="A202" s="5">
        <v>0</v>
      </c>
      <c r="B202" s="6" t="s">
        <v>1251</v>
      </c>
      <c r="C202" s="13">
        <v>1044.9000000000001</v>
      </c>
      <c r="D202" s="8" t="s">
        <v>1252</v>
      </c>
      <c r="E202" s="8" t="s">
        <v>1253</v>
      </c>
      <c r="F202" s="8" t="s">
        <v>1254</v>
      </c>
      <c r="G202" s="6" t="s">
        <v>58</v>
      </c>
      <c r="H202" s="6" t="s">
        <v>84</v>
      </c>
      <c r="I202" s="8" t="s">
        <v>85</v>
      </c>
      <c r="J202" s="9">
        <v>1</v>
      </c>
      <c r="K202" s="9">
        <v>336</v>
      </c>
      <c r="L202" s="9">
        <v>2018</v>
      </c>
      <c r="M202" s="8" t="s">
        <v>1255</v>
      </c>
      <c r="N202" s="8" t="s">
        <v>40</v>
      </c>
      <c r="O202" s="8" t="s">
        <v>41</v>
      </c>
      <c r="P202" s="6" t="s">
        <v>42</v>
      </c>
      <c r="Q202" s="8" t="s">
        <v>43</v>
      </c>
      <c r="R202" s="10" t="s">
        <v>1256</v>
      </c>
      <c r="S202" s="11"/>
      <c r="T202" s="6"/>
      <c r="U202" s="28" t="str">
        <f>HYPERLINK("https://media.infra-m.ru/0926/0926197/cover/926197.jpg", "Обложка")</f>
        <v>Обложка</v>
      </c>
      <c r="V202" s="28" t="str">
        <f>HYPERLINK("https://znanium.com/catalog/product/926197", "Ознакомиться")</f>
        <v>Ознакомиться</v>
      </c>
      <c r="W202" s="8" t="s">
        <v>45</v>
      </c>
      <c r="X202" s="6"/>
      <c r="Y202" s="6"/>
      <c r="Z202" s="6"/>
      <c r="AA202" s="6" t="s">
        <v>298</v>
      </c>
    </row>
    <row r="203" spans="1:27" s="4" customFormat="1" ht="42" customHeight="1">
      <c r="A203" s="5">
        <v>0</v>
      </c>
      <c r="B203" s="6" t="s">
        <v>1257</v>
      </c>
      <c r="C203" s="13">
        <v>1480</v>
      </c>
      <c r="D203" s="8" t="s">
        <v>1258</v>
      </c>
      <c r="E203" s="8" t="s">
        <v>1259</v>
      </c>
      <c r="F203" s="8" t="s">
        <v>1260</v>
      </c>
      <c r="G203" s="6" t="s">
        <v>37</v>
      </c>
      <c r="H203" s="6" t="s">
        <v>38</v>
      </c>
      <c r="I203" s="8"/>
      <c r="J203" s="9">
        <v>1</v>
      </c>
      <c r="K203" s="9">
        <v>320</v>
      </c>
      <c r="L203" s="9">
        <v>2024</v>
      </c>
      <c r="M203" s="8" t="s">
        <v>1261</v>
      </c>
      <c r="N203" s="8" t="s">
        <v>40</v>
      </c>
      <c r="O203" s="8" t="s">
        <v>41</v>
      </c>
      <c r="P203" s="6" t="s">
        <v>42</v>
      </c>
      <c r="Q203" s="8" t="s">
        <v>43</v>
      </c>
      <c r="R203" s="10" t="s">
        <v>304</v>
      </c>
      <c r="S203" s="11"/>
      <c r="T203" s="6"/>
      <c r="U203" s="28" t="str">
        <f>HYPERLINK("https://media.infra-m.ru/2083/2083853/cover/2083853.jpg", "Обложка")</f>
        <v>Обложка</v>
      </c>
      <c r="V203" s="28" t="str">
        <f>HYPERLINK("https://znanium.com/catalog/product/929693", "Ознакомиться")</f>
        <v>Ознакомиться</v>
      </c>
      <c r="W203" s="8" t="s">
        <v>700</v>
      </c>
      <c r="X203" s="6"/>
      <c r="Y203" s="6"/>
      <c r="Z203" s="6"/>
      <c r="AA203" s="6" t="s">
        <v>622</v>
      </c>
    </row>
    <row r="204" spans="1:27" s="4" customFormat="1" ht="44.1" customHeight="1">
      <c r="A204" s="5">
        <v>0</v>
      </c>
      <c r="B204" s="6" t="s">
        <v>1262</v>
      </c>
      <c r="C204" s="7">
        <v>564.9</v>
      </c>
      <c r="D204" s="8" t="s">
        <v>1263</v>
      </c>
      <c r="E204" s="8" t="s">
        <v>1264</v>
      </c>
      <c r="F204" s="8" t="s">
        <v>1265</v>
      </c>
      <c r="G204" s="6" t="s">
        <v>58</v>
      </c>
      <c r="H204" s="6" t="s">
        <v>38</v>
      </c>
      <c r="I204" s="8"/>
      <c r="J204" s="9">
        <v>20</v>
      </c>
      <c r="K204" s="9">
        <v>256</v>
      </c>
      <c r="L204" s="9">
        <v>2016</v>
      </c>
      <c r="M204" s="8" t="s">
        <v>1266</v>
      </c>
      <c r="N204" s="8" t="s">
        <v>40</v>
      </c>
      <c r="O204" s="8" t="s">
        <v>41</v>
      </c>
      <c r="P204" s="6" t="s">
        <v>42</v>
      </c>
      <c r="Q204" s="8" t="s">
        <v>296</v>
      </c>
      <c r="R204" s="10" t="s">
        <v>776</v>
      </c>
      <c r="S204" s="11"/>
      <c r="T204" s="6"/>
      <c r="U204" s="28" t="str">
        <f>HYPERLINK("https://media.infra-m.ru/0553/0553394/cover/553394.jpg", "Обложка")</f>
        <v>Обложка</v>
      </c>
      <c r="V204" s="28" t="str">
        <f>HYPERLINK("https://znanium.com/catalog/product/431460", "Ознакомиться")</f>
        <v>Ознакомиться</v>
      </c>
      <c r="W204" s="8" t="s">
        <v>1267</v>
      </c>
      <c r="X204" s="6"/>
      <c r="Y204" s="6"/>
      <c r="Z204" s="6"/>
      <c r="AA204" s="6" t="s">
        <v>289</v>
      </c>
    </row>
    <row r="205" spans="1:27" s="4" customFormat="1" ht="51.95" customHeight="1">
      <c r="A205" s="5">
        <v>0</v>
      </c>
      <c r="B205" s="6" t="s">
        <v>1268</v>
      </c>
      <c r="C205" s="7">
        <v>94.9</v>
      </c>
      <c r="D205" s="8" t="s">
        <v>1269</v>
      </c>
      <c r="E205" s="8" t="s">
        <v>1270</v>
      </c>
      <c r="F205" s="8" t="s">
        <v>799</v>
      </c>
      <c r="G205" s="6" t="s">
        <v>51</v>
      </c>
      <c r="H205" s="6" t="s">
        <v>52</v>
      </c>
      <c r="I205" s="8"/>
      <c r="J205" s="9">
        <v>1</v>
      </c>
      <c r="K205" s="9">
        <v>11</v>
      </c>
      <c r="L205" s="9">
        <v>2023</v>
      </c>
      <c r="M205" s="8" t="s">
        <v>1271</v>
      </c>
      <c r="N205" s="8" t="s">
        <v>40</v>
      </c>
      <c r="O205" s="8" t="s">
        <v>41</v>
      </c>
      <c r="P205" s="6" t="s">
        <v>803</v>
      </c>
      <c r="Q205" s="8" t="s">
        <v>43</v>
      </c>
      <c r="R205" s="10" t="s">
        <v>1272</v>
      </c>
      <c r="S205" s="11"/>
      <c r="T205" s="6"/>
      <c r="U205" s="28" t="str">
        <f>HYPERLINK("https://media.infra-m.ru/1912/1912372/cover/1912372.jpg", "Обложка")</f>
        <v>Обложка</v>
      </c>
      <c r="V205" s="12"/>
      <c r="W205" s="8"/>
      <c r="X205" s="6"/>
      <c r="Y205" s="6"/>
      <c r="Z205" s="6"/>
      <c r="AA205" s="6" t="s">
        <v>1273</v>
      </c>
    </row>
    <row r="206" spans="1:27" s="4" customFormat="1" ht="42" customHeight="1">
      <c r="A206" s="5">
        <v>0</v>
      </c>
      <c r="B206" s="6" t="s">
        <v>1274</v>
      </c>
      <c r="C206" s="13">
        <v>2060</v>
      </c>
      <c r="D206" s="8" t="s">
        <v>1275</v>
      </c>
      <c r="E206" s="8" t="s">
        <v>1276</v>
      </c>
      <c r="F206" s="8" t="s">
        <v>1277</v>
      </c>
      <c r="G206" s="6" t="s">
        <v>58</v>
      </c>
      <c r="H206" s="6" t="s">
        <v>84</v>
      </c>
      <c r="I206" s="8" t="s">
        <v>251</v>
      </c>
      <c r="J206" s="9">
        <v>1</v>
      </c>
      <c r="K206" s="9">
        <v>448</v>
      </c>
      <c r="L206" s="9">
        <v>2023</v>
      </c>
      <c r="M206" s="8" t="s">
        <v>1278</v>
      </c>
      <c r="N206" s="8" t="s">
        <v>40</v>
      </c>
      <c r="O206" s="8" t="s">
        <v>41</v>
      </c>
      <c r="P206" s="6" t="s">
        <v>42</v>
      </c>
      <c r="Q206" s="8" t="s">
        <v>43</v>
      </c>
      <c r="R206" s="10" t="s">
        <v>310</v>
      </c>
      <c r="S206" s="11"/>
      <c r="T206" s="6"/>
      <c r="U206" s="28" t="str">
        <f>HYPERLINK("https://media.infra-m.ru/1895/1895630/cover/1895630.jpg", "Обложка")</f>
        <v>Обложка</v>
      </c>
      <c r="V206" s="28" t="str">
        <f>HYPERLINK("https://znanium.com/catalog/product/1895630", "Ознакомиться")</f>
        <v>Ознакомиться</v>
      </c>
      <c r="W206" s="8" t="s">
        <v>712</v>
      </c>
      <c r="X206" s="6"/>
      <c r="Y206" s="6"/>
      <c r="Z206" s="6"/>
      <c r="AA206" s="6" t="s">
        <v>148</v>
      </c>
    </row>
    <row r="207" spans="1:27" s="4" customFormat="1" ht="42" customHeight="1">
      <c r="A207" s="5">
        <v>0</v>
      </c>
      <c r="B207" s="6" t="s">
        <v>1279</v>
      </c>
      <c r="C207" s="7">
        <v>850</v>
      </c>
      <c r="D207" s="8" t="s">
        <v>1280</v>
      </c>
      <c r="E207" s="8" t="s">
        <v>1281</v>
      </c>
      <c r="F207" s="8" t="s">
        <v>1282</v>
      </c>
      <c r="G207" s="6" t="s">
        <v>51</v>
      </c>
      <c r="H207" s="6" t="s">
        <v>84</v>
      </c>
      <c r="I207" s="8" t="s">
        <v>251</v>
      </c>
      <c r="J207" s="9">
        <v>1</v>
      </c>
      <c r="K207" s="9">
        <v>179</v>
      </c>
      <c r="L207" s="9">
        <v>2023</v>
      </c>
      <c r="M207" s="8" t="s">
        <v>1283</v>
      </c>
      <c r="N207" s="8" t="s">
        <v>40</v>
      </c>
      <c r="O207" s="8" t="s">
        <v>41</v>
      </c>
      <c r="P207" s="6" t="s">
        <v>42</v>
      </c>
      <c r="Q207" s="8" t="s">
        <v>43</v>
      </c>
      <c r="R207" s="10" t="s">
        <v>1284</v>
      </c>
      <c r="S207" s="11"/>
      <c r="T207" s="6"/>
      <c r="U207" s="28" t="str">
        <f>HYPERLINK("https://media.infra-m.ru/1894/1894393/cover/1894393.jpg", "Обложка")</f>
        <v>Обложка</v>
      </c>
      <c r="V207" s="28" t="str">
        <f>HYPERLINK("https://znanium.com/catalog/product/1894393", "Ознакомиться")</f>
        <v>Ознакомиться</v>
      </c>
      <c r="W207" s="8" t="s">
        <v>1285</v>
      </c>
      <c r="X207" s="6" t="s">
        <v>407</v>
      </c>
      <c r="Y207" s="6"/>
      <c r="Z207" s="6"/>
      <c r="AA207" s="6" t="s">
        <v>408</v>
      </c>
    </row>
    <row r="208" spans="1:27" s="4" customFormat="1" ht="44.1" customHeight="1">
      <c r="A208" s="5">
        <v>0</v>
      </c>
      <c r="B208" s="6" t="s">
        <v>1286</v>
      </c>
      <c r="C208" s="13">
        <v>1800</v>
      </c>
      <c r="D208" s="8" t="s">
        <v>1287</v>
      </c>
      <c r="E208" s="8" t="s">
        <v>1288</v>
      </c>
      <c r="F208" s="8" t="s">
        <v>57</v>
      </c>
      <c r="G208" s="6" t="s">
        <v>37</v>
      </c>
      <c r="H208" s="6" t="s">
        <v>38</v>
      </c>
      <c r="I208" s="8"/>
      <c r="J208" s="9">
        <v>1</v>
      </c>
      <c r="K208" s="9">
        <v>400</v>
      </c>
      <c r="L208" s="9">
        <v>2023</v>
      </c>
      <c r="M208" s="8" t="s">
        <v>1289</v>
      </c>
      <c r="N208" s="8" t="s">
        <v>40</v>
      </c>
      <c r="O208" s="8" t="s">
        <v>41</v>
      </c>
      <c r="P208" s="6" t="s">
        <v>42</v>
      </c>
      <c r="Q208" s="8" t="s">
        <v>43</v>
      </c>
      <c r="R208" s="10" t="s">
        <v>1290</v>
      </c>
      <c r="S208" s="11"/>
      <c r="T208" s="6"/>
      <c r="U208" s="28" t="str">
        <f>HYPERLINK("https://media.infra-m.ru/1895/1895648/cover/1895648.jpg", "Обложка")</f>
        <v>Обложка</v>
      </c>
      <c r="V208" s="28" t="str">
        <f>HYPERLINK("https://znanium.com/catalog/product/1895648", "Ознакомиться")</f>
        <v>Ознакомиться</v>
      </c>
      <c r="W208" s="8" t="s">
        <v>61</v>
      </c>
      <c r="X208" s="6"/>
      <c r="Y208" s="6"/>
      <c r="Z208" s="6"/>
      <c r="AA208" s="6" t="s">
        <v>62</v>
      </c>
    </row>
    <row r="209" spans="1:27" s="4" customFormat="1" ht="42" customHeight="1">
      <c r="A209" s="5">
        <v>0</v>
      </c>
      <c r="B209" s="6" t="s">
        <v>1291</v>
      </c>
      <c r="C209" s="7">
        <v>770</v>
      </c>
      <c r="D209" s="8" t="s">
        <v>1292</v>
      </c>
      <c r="E209" s="8" t="s">
        <v>1293</v>
      </c>
      <c r="F209" s="8" t="s">
        <v>1294</v>
      </c>
      <c r="G209" s="6" t="s">
        <v>51</v>
      </c>
      <c r="H209" s="6" t="s">
        <v>84</v>
      </c>
      <c r="I209" s="8" t="s">
        <v>85</v>
      </c>
      <c r="J209" s="9">
        <v>1</v>
      </c>
      <c r="K209" s="9">
        <v>172</v>
      </c>
      <c r="L209" s="9">
        <v>2023</v>
      </c>
      <c r="M209" s="8" t="s">
        <v>1295</v>
      </c>
      <c r="N209" s="8" t="s">
        <v>40</v>
      </c>
      <c r="O209" s="8" t="s">
        <v>41</v>
      </c>
      <c r="P209" s="6" t="s">
        <v>42</v>
      </c>
      <c r="Q209" s="8" t="s">
        <v>43</v>
      </c>
      <c r="R209" s="10" t="s">
        <v>304</v>
      </c>
      <c r="S209" s="11"/>
      <c r="T209" s="6"/>
      <c r="U209" s="28" t="str">
        <f>HYPERLINK("https://media.infra-m.ru/1900/1900718/cover/1900718.jpg", "Обложка")</f>
        <v>Обложка</v>
      </c>
      <c r="V209" s="28" t="str">
        <f>HYPERLINK("https://znanium.com/catalog/product/1900718", "Ознакомиться")</f>
        <v>Ознакомиться</v>
      </c>
      <c r="W209" s="8" t="s">
        <v>45</v>
      </c>
      <c r="X209" s="6"/>
      <c r="Y209" s="6"/>
      <c r="Z209" s="6"/>
      <c r="AA209" s="6" t="s">
        <v>289</v>
      </c>
    </row>
    <row r="210" spans="1:27" s="4" customFormat="1" ht="51.95" customHeight="1">
      <c r="A210" s="5">
        <v>0</v>
      </c>
      <c r="B210" s="6" t="s">
        <v>1296</v>
      </c>
      <c r="C210" s="13">
        <v>1190</v>
      </c>
      <c r="D210" s="8" t="s">
        <v>1297</v>
      </c>
      <c r="E210" s="8" t="s">
        <v>1298</v>
      </c>
      <c r="F210" s="8" t="s">
        <v>1299</v>
      </c>
      <c r="G210" s="6" t="s">
        <v>37</v>
      </c>
      <c r="H210" s="6" t="s">
        <v>84</v>
      </c>
      <c r="I210" s="8" t="s">
        <v>1140</v>
      </c>
      <c r="J210" s="9">
        <v>1</v>
      </c>
      <c r="K210" s="9">
        <v>255</v>
      </c>
      <c r="L210" s="9">
        <v>2023</v>
      </c>
      <c r="M210" s="8" t="s">
        <v>1300</v>
      </c>
      <c r="N210" s="8" t="s">
        <v>40</v>
      </c>
      <c r="O210" s="8" t="s">
        <v>41</v>
      </c>
      <c r="P210" s="6" t="s">
        <v>75</v>
      </c>
      <c r="Q210" s="8" t="s">
        <v>1199</v>
      </c>
      <c r="R210" s="10" t="s">
        <v>1301</v>
      </c>
      <c r="S210" s="11"/>
      <c r="T210" s="6"/>
      <c r="U210" s="28" t="str">
        <f>HYPERLINK("https://media.infra-m.ru/2064/2064547/cover/2064547.jpg", "Обложка")</f>
        <v>Обложка</v>
      </c>
      <c r="V210" s="28" t="str">
        <f>HYPERLINK("https://znanium.com/catalog/product/1900502", "Ознакомиться")</f>
        <v>Ознакомиться</v>
      </c>
      <c r="W210" s="8" t="s">
        <v>114</v>
      </c>
      <c r="X210" s="6"/>
      <c r="Y210" s="6"/>
      <c r="Z210" s="6"/>
      <c r="AA210" s="6" t="s">
        <v>408</v>
      </c>
    </row>
    <row r="211" spans="1:27" s="4" customFormat="1" ht="42" customHeight="1">
      <c r="A211" s="5">
        <v>0</v>
      </c>
      <c r="B211" s="6" t="s">
        <v>1302</v>
      </c>
      <c r="C211" s="7">
        <v>864.9</v>
      </c>
      <c r="D211" s="8" t="s">
        <v>1303</v>
      </c>
      <c r="E211" s="8" t="s">
        <v>1304</v>
      </c>
      <c r="F211" s="8" t="s">
        <v>1305</v>
      </c>
      <c r="G211" s="6" t="s">
        <v>51</v>
      </c>
      <c r="H211" s="6" t="s">
        <v>38</v>
      </c>
      <c r="I211" s="8"/>
      <c r="J211" s="9">
        <v>1</v>
      </c>
      <c r="K211" s="9">
        <v>192</v>
      </c>
      <c r="L211" s="9">
        <v>2023</v>
      </c>
      <c r="M211" s="8" t="s">
        <v>1306</v>
      </c>
      <c r="N211" s="8" t="s">
        <v>40</v>
      </c>
      <c r="O211" s="8" t="s">
        <v>41</v>
      </c>
      <c r="P211" s="6" t="s">
        <v>42</v>
      </c>
      <c r="Q211" s="8" t="s">
        <v>43</v>
      </c>
      <c r="R211" s="10" t="s">
        <v>896</v>
      </c>
      <c r="S211" s="11"/>
      <c r="T211" s="6"/>
      <c r="U211" s="28" t="str">
        <f>HYPERLINK("https://media.infra-m.ru/1876/1876633/cover/1876633.jpg", "Обложка")</f>
        <v>Обложка</v>
      </c>
      <c r="V211" s="28" t="str">
        <f>HYPERLINK("https://znanium.com/catalog/product/1216859", "Ознакомиться")</f>
        <v>Ознакомиться</v>
      </c>
      <c r="W211" s="8" t="s">
        <v>114</v>
      </c>
      <c r="X211" s="6"/>
      <c r="Y211" s="6"/>
      <c r="Z211" s="6"/>
      <c r="AA211" s="6" t="s">
        <v>298</v>
      </c>
    </row>
    <row r="212" spans="1:27" s="4" customFormat="1" ht="44.1" customHeight="1">
      <c r="A212" s="5">
        <v>0</v>
      </c>
      <c r="B212" s="6" t="s">
        <v>1307</v>
      </c>
      <c r="C212" s="13">
        <v>1815</v>
      </c>
      <c r="D212" s="8" t="s">
        <v>1308</v>
      </c>
      <c r="E212" s="8" t="s">
        <v>1309</v>
      </c>
      <c r="F212" s="8" t="s">
        <v>1310</v>
      </c>
      <c r="G212" s="6" t="s">
        <v>58</v>
      </c>
      <c r="H212" s="6" t="s">
        <v>38</v>
      </c>
      <c r="I212" s="8"/>
      <c r="J212" s="9">
        <v>1</v>
      </c>
      <c r="K212" s="9">
        <v>352</v>
      </c>
      <c r="L212" s="9">
        <v>2023</v>
      </c>
      <c r="M212" s="8" t="s">
        <v>1311</v>
      </c>
      <c r="N212" s="8" t="s">
        <v>40</v>
      </c>
      <c r="O212" s="8" t="s">
        <v>41</v>
      </c>
      <c r="P212" s="6" t="s">
        <v>42</v>
      </c>
      <c r="Q212" s="8" t="s">
        <v>43</v>
      </c>
      <c r="R212" s="10" t="s">
        <v>1312</v>
      </c>
      <c r="S212" s="11"/>
      <c r="T212" s="6"/>
      <c r="U212" s="28" t="str">
        <f>HYPERLINK("https://media.infra-m.ru/2046/2046939/cover/2046939.jpg", "Обложка")</f>
        <v>Обложка</v>
      </c>
      <c r="V212" s="28" t="str">
        <f>HYPERLINK("https://znanium.com/catalog/product/1983245", "Ознакомиться")</f>
        <v>Ознакомиться</v>
      </c>
      <c r="W212" s="8"/>
      <c r="X212" s="6" t="s">
        <v>1144</v>
      </c>
      <c r="Y212" s="6"/>
      <c r="Z212" s="6"/>
      <c r="AA212" s="6" t="s">
        <v>408</v>
      </c>
    </row>
    <row r="213" spans="1:27" s="4" customFormat="1" ht="51.95" customHeight="1">
      <c r="A213" s="5">
        <v>0</v>
      </c>
      <c r="B213" s="6" t="s">
        <v>1313</v>
      </c>
      <c r="C213" s="7">
        <v>860</v>
      </c>
      <c r="D213" s="8" t="s">
        <v>1314</v>
      </c>
      <c r="E213" s="8" t="s">
        <v>1315</v>
      </c>
      <c r="F213" s="8" t="s">
        <v>1316</v>
      </c>
      <c r="G213" s="6" t="s">
        <v>37</v>
      </c>
      <c r="H213" s="6" t="s">
        <v>38</v>
      </c>
      <c r="I213" s="8"/>
      <c r="J213" s="9">
        <v>1</v>
      </c>
      <c r="K213" s="9">
        <v>192</v>
      </c>
      <c r="L213" s="9">
        <v>2023</v>
      </c>
      <c r="M213" s="8" t="s">
        <v>1317</v>
      </c>
      <c r="N213" s="8" t="s">
        <v>40</v>
      </c>
      <c r="O213" s="8" t="s">
        <v>41</v>
      </c>
      <c r="P213" s="6" t="s">
        <v>42</v>
      </c>
      <c r="Q213" s="8" t="s">
        <v>43</v>
      </c>
      <c r="R213" s="10" t="s">
        <v>1318</v>
      </c>
      <c r="S213" s="11"/>
      <c r="T213" s="6"/>
      <c r="U213" s="28" t="str">
        <f>HYPERLINK("https://media.infra-m.ru/2000/2000849/cover/2000849.jpg", "Обложка")</f>
        <v>Обложка</v>
      </c>
      <c r="V213" s="28" t="str">
        <f>HYPERLINK("https://znanium.com/catalog/product/2000849", "Ознакомиться")</f>
        <v>Ознакомиться</v>
      </c>
      <c r="W213" s="8" t="s">
        <v>124</v>
      </c>
      <c r="X213" s="6"/>
      <c r="Y213" s="6"/>
      <c r="Z213" s="6"/>
      <c r="AA213" s="6" t="s">
        <v>115</v>
      </c>
    </row>
    <row r="214" spans="1:27" s="4" customFormat="1" ht="44.1" customHeight="1">
      <c r="A214" s="5">
        <v>0</v>
      </c>
      <c r="B214" s="6" t="s">
        <v>1319</v>
      </c>
      <c r="C214" s="13">
        <v>1260</v>
      </c>
      <c r="D214" s="8" t="s">
        <v>1320</v>
      </c>
      <c r="E214" s="8" t="s">
        <v>1321</v>
      </c>
      <c r="F214" s="8" t="s">
        <v>1322</v>
      </c>
      <c r="G214" s="6" t="s">
        <v>37</v>
      </c>
      <c r="H214" s="6" t="s">
        <v>38</v>
      </c>
      <c r="I214" s="8"/>
      <c r="J214" s="9">
        <v>1</v>
      </c>
      <c r="K214" s="9">
        <v>272</v>
      </c>
      <c r="L214" s="9">
        <v>2023</v>
      </c>
      <c r="M214" s="8" t="s">
        <v>1323</v>
      </c>
      <c r="N214" s="8" t="s">
        <v>40</v>
      </c>
      <c r="O214" s="8" t="s">
        <v>41</v>
      </c>
      <c r="P214" s="6" t="s">
        <v>42</v>
      </c>
      <c r="Q214" s="8" t="s">
        <v>296</v>
      </c>
      <c r="R214" s="10" t="s">
        <v>776</v>
      </c>
      <c r="S214" s="11"/>
      <c r="T214" s="6"/>
      <c r="U214" s="28" t="str">
        <f>HYPERLINK("https://media.infra-m.ru/2048/2048087/cover/2048087.jpg", "Обложка")</f>
        <v>Обложка</v>
      </c>
      <c r="V214" s="28" t="str">
        <f>HYPERLINK("https://znanium.com/catalog/product/2048087", "Ознакомиться")</f>
        <v>Ознакомиться</v>
      </c>
      <c r="W214" s="8" t="s">
        <v>712</v>
      </c>
      <c r="X214" s="6"/>
      <c r="Y214" s="6"/>
      <c r="Z214" s="6"/>
      <c r="AA214" s="6" t="s">
        <v>148</v>
      </c>
    </row>
    <row r="215" spans="1:27" s="4" customFormat="1" ht="42" customHeight="1">
      <c r="A215" s="5">
        <v>0</v>
      </c>
      <c r="B215" s="6" t="s">
        <v>1324</v>
      </c>
      <c r="C215" s="7">
        <v>854.9</v>
      </c>
      <c r="D215" s="8" t="s">
        <v>1325</v>
      </c>
      <c r="E215" s="8" t="s">
        <v>1326</v>
      </c>
      <c r="F215" s="8" t="s">
        <v>731</v>
      </c>
      <c r="G215" s="6" t="s">
        <v>51</v>
      </c>
      <c r="H215" s="6" t="s">
        <v>84</v>
      </c>
      <c r="I215" s="8" t="s">
        <v>251</v>
      </c>
      <c r="J215" s="9">
        <v>1</v>
      </c>
      <c r="K215" s="9">
        <v>189</v>
      </c>
      <c r="L215" s="9">
        <v>2023</v>
      </c>
      <c r="M215" s="8" t="s">
        <v>1327</v>
      </c>
      <c r="N215" s="8" t="s">
        <v>40</v>
      </c>
      <c r="O215" s="8" t="s">
        <v>41</v>
      </c>
      <c r="P215" s="6" t="s">
        <v>42</v>
      </c>
      <c r="Q215" s="8" t="s">
        <v>43</v>
      </c>
      <c r="R215" s="10" t="s">
        <v>310</v>
      </c>
      <c r="S215" s="11"/>
      <c r="T215" s="6"/>
      <c r="U215" s="28" t="str">
        <f>HYPERLINK("https://media.infra-m.ru/2032/2032566/cover/2032566.jpg", "Обложка")</f>
        <v>Обложка</v>
      </c>
      <c r="V215" s="28" t="str">
        <f>HYPERLINK("https://znanium.com/catalog/product/1093620", "Ознакомиться")</f>
        <v>Ознакомиться</v>
      </c>
      <c r="W215" s="8" t="s">
        <v>733</v>
      </c>
      <c r="X215" s="6"/>
      <c r="Y215" s="6"/>
      <c r="Z215" s="6"/>
      <c r="AA215" s="6" t="s">
        <v>46</v>
      </c>
    </row>
    <row r="216" spans="1:27" s="4" customFormat="1" ht="51.95" customHeight="1">
      <c r="A216" s="5">
        <v>0</v>
      </c>
      <c r="B216" s="6" t="s">
        <v>1328</v>
      </c>
      <c r="C216" s="7">
        <v>280</v>
      </c>
      <c r="D216" s="8" t="s">
        <v>1329</v>
      </c>
      <c r="E216" s="8" t="s">
        <v>1330</v>
      </c>
      <c r="F216" s="8" t="s">
        <v>1331</v>
      </c>
      <c r="G216" s="6" t="s">
        <v>51</v>
      </c>
      <c r="H216" s="6" t="s">
        <v>84</v>
      </c>
      <c r="I216" s="8" t="s">
        <v>251</v>
      </c>
      <c r="J216" s="9">
        <v>1</v>
      </c>
      <c r="K216" s="9">
        <v>88</v>
      </c>
      <c r="L216" s="9">
        <v>2018</v>
      </c>
      <c r="M216" s="8" t="s">
        <v>1332</v>
      </c>
      <c r="N216" s="8" t="s">
        <v>40</v>
      </c>
      <c r="O216" s="8" t="s">
        <v>41</v>
      </c>
      <c r="P216" s="6" t="s">
        <v>42</v>
      </c>
      <c r="Q216" s="8" t="s">
        <v>43</v>
      </c>
      <c r="R216" s="10" t="s">
        <v>1333</v>
      </c>
      <c r="S216" s="11"/>
      <c r="T216" s="6"/>
      <c r="U216" s="28" t="str">
        <f>HYPERLINK("https://media.infra-m.ru/0917/0917970/cover/917970.jpg", "Обложка")</f>
        <v>Обложка</v>
      </c>
      <c r="V216" s="28" t="str">
        <f>HYPERLINK("https://znanium.com/catalog/product/917970", "Ознакомиться")</f>
        <v>Ознакомиться</v>
      </c>
      <c r="W216" s="8" t="s">
        <v>1334</v>
      </c>
      <c r="X216" s="6"/>
      <c r="Y216" s="6"/>
      <c r="Z216" s="6"/>
      <c r="AA216" s="6" t="s">
        <v>415</v>
      </c>
    </row>
    <row r="217" spans="1:27" s="4" customFormat="1" ht="42" customHeight="1">
      <c r="A217" s="5">
        <v>0</v>
      </c>
      <c r="B217" s="6" t="s">
        <v>1335</v>
      </c>
      <c r="C217" s="7">
        <v>750</v>
      </c>
      <c r="D217" s="8" t="s">
        <v>1336</v>
      </c>
      <c r="E217" s="8" t="s">
        <v>1337</v>
      </c>
      <c r="F217" s="8" t="s">
        <v>1331</v>
      </c>
      <c r="G217" s="6" t="s">
        <v>51</v>
      </c>
      <c r="H217" s="6" t="s">
        <v>84</v>
      </c>
      <c r="I217" s="8" t="s">
        <v>251</v>
      </c>
      <c r="J217" s="9">
        <v>1</v>
      </c>
      <c r="K217" s="9">
        <v>198</v>
      </c>
      <c r="L217" s="9">
        <v>2022</v>
      </c>
      <c r="M217" s="8" t="s">
        <v>1338</v>
      </c>
      <c r="N217" s="8" t="s">
        <v>40</v>
      </c>
      <c r="O217" s="8" t="s">
        <v>41</v>
      </c>
      <c r="P217" s="6" t="s">
        <v>42</v>
      </c>
      <c r="Q217" s="8" t="s">
        <v>43</v>
      </c>
      <c r="R217" s="10" t="s">
        <v>1339</v>
      </c>
      <c r="S217" s="11"/>
      <c r="T217" s="6"/>
      <c r="U217" s="28" t="str">
        <f>HYPERLINK("https://media.infra-m.ru/1759/1759764/cover/1759764.jpg", "Обложка")</f>
        <v>Обложка</v>
      </c>
      <c r="V217" s="28" t="str">
        <f>HYPERLINK("https://znanium.com/catalog/product/546574", "Ознакомиться")</f>
        <v>Ознакомиться</v>
      </c>
      <c r="W217" s="8" t="s">
        <v>1334</v>
      </c>
      <c r="X217" s="6"/>
      <c r="Y217" s="6"/>
      <c r="Z217" s="6"/>
      <c r="AA217" s="6" t="s">
        <v>289</v>
      </c>
    </row>
    <row r="218" spans="1:27" s="4" customFormat="1" ht="51.95" customHeight="1">
      <c r="A218" s="5">
        <v>0</v>
      </c>
      <c r="B218" s="6" t="s">
        <v>1340</v>
      </c>
      <c r="C218" s="7">
        <v>420</v>
      </c>
      <c r="D218" s="8" t="s">
        <v>1341</v>
      </c>
      <c r="E218" s="8" t="s">
        <v>1342</v>
      </c>
      <c r="F218" s="8" t="s">
        <v>1343</v>
      </c>
      <c r="G218" s="6" t="s">
        <v>51</v>
      </c>
      <c r="H218" s="6" t="s">
        <v>52</v>
      </c>
      <c r="I218" s="8" t="s">
        <v>316</v>
      </c>
      <c r="J218" s="9">
        <v>1</v>
      </c>
      <c r="K218" s="9">
        <v>115</v>
      </c>
      <c r="L218" s="9">
        <v>2019</v>
      </c>
      <c r="M218" s="8" t="s">
        <v>1344</v>
      </c>
      <c r="N218" s="8" t="s">
        <v>40</v>
      </c>
      <c r="O218" s="8" t="s">
        <v>41</v>
      </c>
      <c r="P218" s="6" t="s">
        <v>75</v>
      </c>
      <c r="Q218" s="8" t="s">
        <v>157</v>
      </c>
      <c r="R218" s="10" t="s">
        <v>1345</v>
      </c>
      <c r="S218" s="11"/>
      <c r="T218" s="6"/>
      <c r="U218" s="28" t="str">
        <f>HYPERLINK("https://media.infra-m.ru/0989/0989154/cover/989154.jpg", "Обложка")</f>
        <v>Обложка</v>
      </c>
      <c r="V218" s="28" t="str">
        <f>HYPERLINK("https://znanium.com/catalog/product/989154", "Ознакомиться")</f>
        <v>Ознакомиться</v>
      </c>
      <c r="W218" s="8"/>
      <c r="X218" s="6"/>
      <c r="Y218" s="6"/>
      <c r="Z218" s="6"/>
      <c r="AA218" s="6" t="s">
        <v>148</v>
      </c>
    </row>
    <row r="219" spans="1:27" s="4" customFormat="1" ht="42" customHeight="1">
      <c r="A219" s="5">
        <v>0</v>
      </c>
      <c r="B219" s="6" t="s">
        <v>1346</v>
      </c>
      <c r="C219" s="13">
        <v>1310</v>
      </c>
      <c r="D219" s="8" t="s">
        <v>1347</v>
      </c>
      <c r="E219" s="8" t="s">
        <v>1348</v>
      </c>
      <c r="F219" s="8" t="s">
        <v>1349</v>
      </c>
      <c r="G219" s="6" t="s">
        <v>37</v>
      </c>
      <c r="H219" s="6" t="s">
        <v>38</v>
      </c>
      <c r="I219" s="8"/>
      <c r="J219" s="9">
        <v>1</v>
      </c>
      <c r="K219" s="9">
        <v>336</v>
      </c>
      <c r="L219" s="9">
        <v>2022</v>
      </c>
      <c r="M219" s="8" t="s">
        <v>1350</v>
      </c>
      <c r="N219" s="8" t="s">
        <v>40</v>
      </c>
      <c r="O219" s="8" t="s">
        <v>41</v>
      </c>
      <c r="P219" s="6" t="s">
        <v>42</v>
      </c>
      <c r="Q219" s="8" t="s">
        <v>43</v>
      </c>
      <c r="R219" s="10" t="s">
        <v>1339</v>
      </c>
      <c r="S219" s="11"/>
      <c r="T219" s="6"/>
      <c r="U219" s="28" t="str">
        <f>HYPERLINK("https://media.infra-m.ru/1836/1836944/cover/1836944.jpg", "Обложка")</f>
        <v>Обложка</v>
      </c>
      <c r="V219" s="28" t="str">
        <f>HYPERLINK("https://znanium.com/catalog/product/1836944", "Ознакомиться")</f>
        <v>Ознакомиться</v>
      </c>
      <c r="W219" s="8" t="s">
        <v>45</v>
      </c>
      <c r="X219" s="6"/>
      <c r="Y219" s="6"/>
      <c r="Z219" s="6"/>
      <c r="AA219" s="6" t="s">
        <v>46</v>
      </c>
    </row>
    <row r="220" spans="1:27" s="4" customFormat="1" ht="44.1" customHeight="1">
      <c r="A220" s="5">
        <v>0</v>
      </c>
      <c r="B220" s="6" t="s">
        <v>1351</v>
      </c>
      <c r="C220" s="7">
        <v>794.9</v>
      </c>
      <c r="D220" s="8" t="s">
        <v>1352</v>
      </c>
      <c r="E220" s="8" t="s">
        <v>1353</v>
      </c>
      <c r="F220" s="8" t="s">
        <v>1354</v>
      </c>
      <c r="G220" s="6" t="s">
        <v>51</v>
      </c>
      <c r="H220" s="6" t="s">
        <v>38</v>
      </c>
      <c r="I220" s="8"/>
      <c r="J220" s="9">
        <v>1</v>
      </c>
      <c r="K220" s="9">
        <v>192</v>
      </c>
      <c r="L220" s="9">
        <v>2023</v>
      </c>
      <c r="M220" s="8" t="s">
        <v>1355</v>
      </c>
      <c r="N220" s="8" t="s">
        <v>40</v>
      </c>
      <c r="O220" s="8" t="s">
        <v>41</v>
      </c>
      <c r="P220" s="6" t="s">
        <v>42</v>
      </c>
      <c r="Q220" s="8" t="s">
        <v>296</v>
      </c>
      <c r="R220" s="10" t="s">
        <v>442</v>
      </c>
      <c r="S220" s="11"/>
      <c r="T220" s="6"/>
      <c r="U220" s="28" t="str">
        <f>HYPERLINK("https://media.infra-m.ru/1911/1911179/cover/1911179.jpg", "Обложка")</f>
        <v>Обложка</v>
      </c>
      <c r="V220" s="28" t="str">
        <f>HYPERLINK("https://znanium.com/catalog/product/1013828", "Ознакомиться")</f>
        <v>Ознакомиться</v>
      </c>
      <c r="W220" s="8" t="s">
        <v>1356</v>
      </c>
      <c r="X220" s="6"/>
      <c r="Y220" s="6"/>
      <c r="Z220" s="6"/>
      <c r="AA220" s="6" t="s">
        <v>422</v>
      </c>
    </row>
    <row r="221" spans="1:27" s="4" customFormat="1" ht="51.95" customHeight="1">
      <c r="A221" s="5">
        <v>0</v>
      </c>
      <c r="B221" s="6" t="s">
        <v>1357</v>
      </c>
      <c r="C221" s="7">
        <v>594.9</v>
      </c>
      <c r="D221" s="8" t="s">
        <v>1358</v>
      </c>
      <c r="E221" s="8" t="s">
        <v>1359</v>
      </c>
      <c r="F221" s="8" t="s">
        <v>1360</v>
      </c>
      <c r="G221" s="6" t="s">
        <v>51</v>
      </c>
      <c r="H221" s="6" t="s">
        <v>84</v>
      </c>
      <c r="I221" s="8" t="s">
        <v>185</v>
      </c>
      <c r="J221" s="9">
        <v>1</v>
      </c>
      <c r="K221" s="9">
        <v>126</v>
      </c>
      <c r="L221" s="9">
        <v>2023</v>
      </c>
      <c r="M221" s="8" t="s">
        <v>1361</v>
      </c>
      <c r="N221" s="8" t="s">
        <v>40</v>
      </c>
      <c r="O221" s="8" t="s">
        <v>41</v>
      </c>
      <c r="P221" s="6" t="s">
        <v>75</v>
      </c>
      <c r="Q221" s="8" t="s">
        <v>76</v>
      </c>
      <c r="R221" s="10" t="s">
        <v>122</v>
      </c>
      <c r="S221" s="11"/>
      <c r="T221" s="6"/>
      <c r="U221" s="28" t="str">
        <f>HYPERLINK("https://media.infra-m.ru/2016/2016336/cover/2016336.jpg", "Обложка")</f>
        <v>Обложка</v>
      </c>
      <c r="V221" s="28" t="str">
        <f>HYPERLINK("https://znanium.com/catalog/product/1844319", "Ознакомиться")</f>
        <v>Ознакомиться</v>
      </c>
      <c r="W221" s="8" t="s">
        <v>1362</v>
      </c>
      <c r="X221" s="6"/>
      <c r="Y221" s="6"/>
      <c r="Z221" s="6"/>
      <c r="AA221" s="6" t="s">
        <v>422</v>
      </c>
    </row>
    <row r="222" spans="1:27" s="4" customFormat="1" ht="51.95" customHeight="1">
      <c r="A222" s="5">
        <v>0</v>
      </c>
      <c r="B222" s="6" t="s">
        <v>1363</v>
      </c>
      <c r="C222" s="13">
        <v>1104</v>
      </c>
      <c r="D222" s="8" t="s">
        <v>1364</v>
      </c>
      <c r="E222" s="8" t="s">
        <v>1365</v>
      </c>
      <c r="F222" s="8" t="s">
        <v>1366</v>
      </c>
      <c r="G222" s="6" t="s">
        <v>58</v>
      </c>
      <c r="H222" s="6" t="s">
        <v>38</v>
      </c>
      <c r="I222" s="8"/>
      <c r="J222" s="9">
        <v>1</v>
      </c>
      <c r="K222" s="9">
        <v>240</v>
      </c>
      <c r="L222" s="9">
        <v>2024</v>
      </c>
      <c r="M222" s="8" t="s">
        <v>1367</v>
      </c>
      <c r="N222" s="8" t="s">
        <v>40</v>
      </c>
      <c r="O222" s="8" t="s">
        <v>41</v>
      </c>
      <c r="P222" s="6" t="s">
        <v>42</v>
      </c>
      <c r="Q222" s="8" t="s">
        <v>43</v>
      </c>
      <c r="R222" s="10" t="s">
        <v>452</v>
      </c>
      <c r="S222" s="11"/>
      <c r="T222" s="6"/>
      <c r="U222" s="28" t="str">
        <f>HYPERLINK("https://media.infra-m.ru/2117/2117602/cover/2117602.jpg", "Обложка")</f>
        <v>Обложка</v>
      </c>
      <c r="V222" s="28" t="str">
        <f>HYPERLINK("https://znanium.com/catalog/product/2113853", "Ознакомиться")</f>
        <v>Ознакомиться</v>
      </c>
      <c r="W222" s="8" t="s">
        <v>1368</v>
      </c>
      <c r="X222" s="6"/>
      <c r="Y222" s="6"/>
      <c r="Z222" s="6"/>
      <c r="AA222" s="6" t="s">
        <v>327</v>
      </c>
    </row>
    <row r="223" spans="1:27" s="4" customFormat="1" ht="42" customHeight="1">
      <c r="A223" s="5">
        <v>0</v>
      </c>
      <c r="B223" s="6" t="s">
        <v>1369</v>
      </c>
      <c r="C223" s="13">
        <v>2060</v>
      </c>
      <c r="D223" s="8" t="s">
        <v>1370</v>
      </c>
      <c r="E223" s="8" t="s">
        <v>1371</v>
      </c>
      <c r="F223" s="8" t="s">
        <v>1372</v>
      </c>
      <c r="G223" s="6" t="s">
        <v>58</v>
      </c>
      <c r="H223" s="6" t="s">
        <v>38</v>
      </c>
      <c r="I223" s="8"/>
      <c r="J223" s="9">
        <v>1</v>
      </c>
      <c r="K223" s="9">
        <v>448</v>
      </c>
      <c r="L223" s="9">
        <v>2023</v>
      </c>
      <c r="M223" s="8" t="s">
        <v>1373</v>
      </c>
      <c r="N223" s="8" t="s">
        <v>40</v>
      </c>
      <c r="O223" s="8" t="s">
        <v>41</v>
      </c>
      <c r="P223" s="6" t="s">
        <v>42</v>
      </c>
      <c r="Q223" s="8" t="s">
        <v>43</v>
      </c>
      <c r="R223" s="10" t="s">
        <v>113</v>
      </c>
      <c r="S223" s="11"/>
      <c r="T223" s="6"/>
      <c r="U223" s="28" t="str">
        <f>HYPERLINK("https://media.infra-m.ru/2048/2048088/cover/2048088.jpg", "Обложка")</f>
        <v>Обложка</v>
      </c>
      <c r="V223" s="28" t="str">
        <f>HYPERLINK("https://znanium.com/catalog/product/2048088", "Ознакомиться")</f>
        <v>Ознакомиться</v>
      </c>
      <c r="W223" s="8" t="s">
        <v>114</v>
      </c>
      <c r="X223" s="6"/>
      <c r="Y223" s="6"/>
      <c r="Z223" s="6"/>
      <c r="AA223" s="6" t="s">
        <v>320</v>
      </c>
    </row>
    <row r="224" spans="1:27" s="4" customFormat="1" ht="42" customHeight="1">
      <c r="A224" s="5">
        <v>0</v>
      </c>
      <c r="B224" s="6" t="s">
        <v>1374</v>
      </c>
      <c r="C224" s="13">
        <v>1310</v>
      </c>
      <c r="D224" s="8" t="s">
        <v>1375</v>
      </c>
      <c r="E224" s="8" t="s">
        <v>1376</v>
      </c>
      <c r="F224" s="8" t="s">
        <v>1372</v>
      </c>
      <c r="G224" s="6" t="s">
        <v>58</v>
      </c>
      <c r="H224" s="6" t="s">
        <v>38</v>
      </c>
      <c r="I224" s="8"/>
      <c r="J224" s="9">
        <v>1</v>
      </c>
      <c r="K224" s="9">
        <v>384</v>
      </c>
      <c r="L224" s="9">
        <v>2019</v>
      </c>
      <c r="M224" s="8" t="s">
        <v>1377</v>
      </c>
      <c r="N224" s="8" t="s">
        <v>40</v>
      </c>
      <c r="O224" s="8" t="s">
        <v>41</v>
      </c>
      <c r="P224" s="6" t="s">
        <v>42</v>
      </c>
      <c r="Q224" s="8" t="s">
        <v>43</v>
      </c>
      <c r="R224" s="10" t="s">
        <v>113</v>
      </c>
      <c r="S224" s="11"/>
      <c r="T224" s="6"/>
      <c r="U224" s="28" t="str">
        <f>HYPERLINK("https://media.infra-m.ru/1001/1001980/cover/1001980.jpg", "Обложка")</f>
        <v>Обложка</v>
      </c>
      <c r="V224" s="28" t="str">
        <f>HYPERLINK("https://znanium.com/catalog/product/2048088", "Ознакомиться")</f>
        <v>Ознакомиться</v>
      </c>
      <c r="W224" s="8" t="s">
        <v>114</v>
      </c>
      <c r="X224" s="6"/>
      <c r="Y224" s="6"/>
      <c r="Z224" s="6"/>
      <c r="AA224" s="6" t="s">
        <v>88</v>
      </c>
    </row>
    <row r="225" spans="1:27" s="4" customFormat="1" ht="44.1" customHeight="1">
      <c r="A225" s="5">
        <v>0</v>
      </c>
      <c r="B225" s="6" t="s">
        <v>1378</v>
      </c>
      <c r="C225" s="13">
        <v>1890</v>
      </c>
      <c r="D225" s="8" t="s">
        <v>1379</v>
      </c>
      <c r="E225" s="8" t="s">
        <v>1380</v>
      </c>
      <c r="F225" s="8" t="s">
        <v>1381</v>
      </c>
      <c r="G225" s="6" t="s">
        <v>58</v>
      </c>
      <c r="H225" s="6" t="s">
        <v>84</v>
      </c>
      <c r="I225" s="8" t="s">
        <v>251</v>
      </c>
      <c r="J225" s="9">
        <v>1</v>
      </c>
      <c r="K225" s="9">
        <v>480</v>
      </c>
      <c r="L225" s="9">
        <v>2022</v>
      </c>
      <c r="M225" s="8" t="s">
        <v>1382</v>
      </c>
      <c r="N225" s="8" t="s">
        <v>40</v>
      </c>
      <c r="O225" s="8" t="s">
        <v>41</v>
      </c>
      <c r="P225" s="6" t="s">
        <v>42</v>
      </c>
      <c r="Q225" s="8" t="s">
        <v>43</v>
      </c>
      <c r="R225" s="10" t="s">
        <v>1383</v>
      </c>
      <c r="S225" s="11"/>
      <c r="T225" s="6"/>
      <c r="U225" s="28" t="str">
        <f>HYPERLINK("https://media.infra-m.ru/1819/1819040/cover/1819040.jpg", "Обложка")</f>
        <v>Обложка</v>
      </c>
      <c r="V225" s="28" t="str">
        <f>HYPERLINK("https://znanium.com/catalog/product/1819040", "Ознакомиться")</f>
        <v>Ознакомиться</v>
      </c>
      <c r="W225" s="8" t="s">
        <v>342</v>
      </c>
      <c r="X225" s="6"/>
      <c r="Y225" s="6"/>
      <c r="Z225" s="6"/>
      <c r="AA225" s="6" t="s">
        <v>343</v>
      </c>
    </row>
    <row r="226" spans="1:27" s="4" customFormat="1" ht="51.95" customHeight="1">
      <c r="A226" s="5">
        <v>0</v>
      </c>
      <c r="B226" s="6" t="s">
        <v>1384</v>
      </c>
      <c r="C226" s="7">
        <v>570</v>
      </c>
      <c r="D226" s="8" t="s">
        <v>1385</v>
      </c>
      <c r="E226" s="8" t="s">
        <v>1386</v>
      </c>
      <c r="F226" s="8" t="s">
        <v>1387</v>
      </c>
      <c r="G226" s="6" t="s">
        <v>51</v>
      </c>
      <c r="H226" s="6" t="s">
        <v>84</v>
      </c>
      <c r="I226" s="8" t="s">
        <v>251</v>
      </c>
      <c r="J226" s="9">
        <v>1</v>
      </c>
      <c r="K226" s="9">
        <v>119</v>
      </c>
      <c r="L226" s="9">
        <v>2024</v>
      </c>
      <c r="M226" s="8" t="s">
        <v>1388</v>
      </c>
      <c r="N226" s="8" t="s">
        <v>40</v>
      </c>
      <c r="O226" s="8" t="s">
        <v>41</v>
      </c>
      <c r="P226" s="6" t="s">
        <v>42</v>
      </c>
      <c r="Q226" s="8" t="s">
        <v>43</v>
      </c>
      <c r="R226" s="10" t="s">
        <v>1076</v>
      </c>
      <c r="S226" s="11"/>
      <c r="T226" s="6"/>
      <c r="U226" s="28" t="str">
        <f>HYPERLINK("https://media.infra-m.ru/2078/2078386/cover/2078386.jpg", "Обложка")</f>
        <v>Обложка</v>
      </c>
      <c r="V226" s="28" t="str">
        <f>HYPERLINK("https://znanium.com/catalog/product/2078386", "Ознакомиться")</f>
        <v>Ознакомиться</v>
      </c>
      <c r="W226" s="8" t="s">
        <v>45</v>
      </c>
      <c r="X226" s="6"/>
      <c r="Y226" s="6"/>
      <c r="Z226" s="6"/>
      <c r="AA226" s="6" t="s">
        <v>46</v>
      </c>
    </row>
    <row r="227" spans="1:27" s="4" customFormat="1" ht="42" customHeight="1">
      <c r="A227" s="5">
        <v>0</v>
      </c>
      <c r="B227" s="6" t="s">
        <v>1389</v>
      </c>
      <c r="C227" s="13">
        <v>1770</v>
      </c>
      <c r="D227" s="8" t="s">
        <v>1390</v>
      </c>
      <c r="E227" s="8" t="s">
        <v>1391</v>
      </c>
      <c r="F227" s="8" t="s">
        <v>1392</v>
      </c>
      <c r="G227" s="6" t="s">
        <v>58</v>
      </c>
      <c r="H227" s="6" t="s">
        <v>38</v>
      </c>
      <c r="I227" s="8"/>
      <c r="J227" s="9">
        <v>1</v>
      </c>
      <c r="K227" s="9">
        <v>384</v>
      </c>
      <c r="L227" s="9">
        <v>2023</v>
      </c>
      <c r="M227" s="8" t="s">
        <v>1393</v>
      </c>
      <c r="N227" s="8" t="s">
        <v>40</v>
      </c>
      <c r="O227" s="8" t="s">
        <v>41</v>
      </c>
      <c r="P227" s="6" t="s">
        <v>42</v>
      </c>
      <c r="Q227" s="8" t="s">
        <v>43</v>
      </c>
      <c r="R227" s="10" t="s">
        <v>1394</v>
      </c>
      <c r="S227" s="11"/>
      <c r="T227" s="6"/>
      <c r="U227" s="28" t="str">
        <f>HYPERLINK("https://media.infra-m.ru/2073/2073371/cover/2073371.jpg", "Обложка")</f>
        <v>Обложка</v>
      </c>
      <c r="V227" s="28" t="str">
        <f>HYPERLINK("https://znanium.com/catalog/product/2073371", "Ознакомиться")</f>
        <v>Ознакомиться</v>
      </c>
      <c r="W227" s="8" t="s">
        <v>45</v>
      </c>
      <c r="X227" s="6" t="s">
        <v>1024</v>
      </c>
      <c r="Y227" s="6"/>
      <c r="Z227" s="6"/>
      <c r="AA227" s="6" t="s">
        <v>408</v>
      </c>
    </row>
    <row r="228" spans="1:27" s="4" customFormat="1" ht="51.95" customHeight="1">
      <c r="A228" s="5">
        <v>0</v>
      </c>
      <c r="B228" s="6" t="s">
        <v>1395</v>
      </c>
      <c r="C228" s="7">
        <v>810</v>
      </c>
      <c r="D228" s="8" t="s">
        <v>1396</v>
      </c>
      <c r="E228" s="8" t="s">
        <v>1397</v>
      </c>
      <c r="F228" s="8" t="s">
        <v>1398</v>
      </c>
      <c r="G228" s="6" t="s">
        <v>58</v>
      </c>
      <c r="H228" s="6" t="s">
        <v>38</v>
      </c>
      <c r="I228" s="8"/>
      <c r="J228" s="9">
        <v>1</v>
      </c>
      <c r="K228" s="9">
        <v>180</v>
      </c>
      <c r="L228" s="9">
        <v>2023</v>
      </c>
      <c r="M228" s="8" t="s">
        <v>1399</v>
      </c>
      <c r="N228" s="8" t="s">
        <v>40</v>
      </c>
      <c r="O228" s="8" t="s">
        <v>41</v>
      </c>
      <c r="P228" s="6" t="s">
        <v>811</v>
      </c>
      <c r="Q228" s="8" t="s">
        <v>43</v>
      </c>
      <c r="R228" s="10" t="s">
        <v>464</v>
      </c>
      <c r="S228" s="11"/>
      <c r="T228" s="6"/>
      <c r="U228" s="28" t="str">
        <f>HYPERLINK("https://media.infra-m.ru/1915/1915616/cover/1915616.jpg", "Обложка")</f>
        <v>Обложка</v>
      </c>
      <c r="V228" s="28" t="str">
        <f>HYPERLINK("https://znanium.com/catalog/product/1915616", "Ознакомиться")</f>
        <v>Ознакомиться</v>
      </c>
      <c r="W228" s="8" t="s">
        <v>1400</v>
      </c>
      <c r="X228" s="6" t="s">
        <v>904</v>
      </c>
      <c r="Y228" s="6"/>
      <c r="Z228" s="6"/>
      <c r="AA228" s="6" t="s">
        <v>408</v>
      </c>
    </row>
    <row r="229" spans="1:27" s="4" customFormat="1" ht="42" customHeight="1">
      <c r="A229" s="5">
        <v>0</v>
      </c>
      <c r="B229" s="6" t="s">
        <v>1401</v>
      </c>
      <c r="C229" s="7">
        <v>950</v>
      </c>
      <c r="D229" s="8" t="s">
        <v>1402</v>
      </c>
      <c r="E229" s="8" t="s">
        <v>1403</v>
      </c>
      <c r="F229" s="8" t="s">
        <v>1404</v>
      </c>
      <c r="G229" s="6" t="s">
        <v>37</v>
      </c>
      <c r="H229" s="6" t="s">
        <v>84</v>
      </c>
      <c r="I229" s="8" t="s">
        <v>251</v>
      </c>
      <c r="J229" s="9">
        <v>1</v>
      </c>
      <c r="K229" s="9">
        <v>205</v>
      </c>
      <c r="L229" s="9">
        <v>2024</v>
      </c>
      <c r="M229" s="8" t="s">
        <v>1405</v>
      </c>
      <c r="N229" s="8" t="s">
        <v>40</v>
      </c>
      <c r="O229" s="8" t="s">
        <v>41</v>
      </c>
      <c r="P229" s="6" t="s">
        <v>42</v>
      </c>
      <c r="Q229" s="8" t="s">
        <v>43</v>
      </c>
      <c r="R229" s="10" t="s">
        <v>1406</v>
      </c>
      <c r="S229" s="11"/>
      <c r="T229" s="6"/>
      <c r="U229" s="28" t="str">
        <f>HYPERLINK("https://media.infra-m.ru/2104/2104865/cover/2104865.jpg", "Обложка")</f>
        <v>Обложка</v>
      </c>
      <c r="V229" s="28" t="str">
        <f>HYPERLINK("https://znanium.com/catalog/product/2104865", "Ознакомиться")</f>
        <v>Ознакомиться</v>
      </c>
      <c r="W229" s="8"/>
      <c r="X229" s="6"/>
      <c r="Y229" s="6"/>
      <c r="Z229" s="6"/>
      <c r="AA229" s="6" t="s">
        <v>343</v>
      </c>
    </row>
    <row r="230" spans="1:27" s="4" customFormat="1" ht="42" customHeight="1">
      <c r="A230" s="5">
        <v>0</v>
      </c>
      <c r="B230" s="6" t="s">
        <v>1407</v>
      </c>
      <c r="C230" s="7">
        <v>450</v>
      </c>
      <c r="D230" s="8" t="s">
        <v>1408</v>
      </c>
      <c r="E230" s="8" t="s">
        <v>1409</v>
      </c>
      <c r="F230" s="8" t="s">
        <v>1410</v>
      </c>
      <c r="G230" s="6" t="s">
        <v>51</v>
      </c>
      <c r="H230" s="6" t="s">
        <v>84</v>
      </c>
      <c r="I230" s="8" t="s">
        <v>251</v>
      </c>
      <c r="J230" s="9">
        <v>1</v>
      </c>
      <c r="K230" s="9">
        <v>100</v>
      </c>
      <c r="L230" s="9">
        <v>2023</v>
      </c>
      <c r="M230" s="8" t="s">
        <v>1411</v>
      </c>
      <c r="N230" s="8" t="s">
        <v>40</v>
      </c>
      <c r="O230" s="8" t="s">
        <v>41</v>
      </c>
      <c r="P230" s="6" t="s">
        <v>42</v>
      </c>
      <c r="Q230" s="8" t="s">
        <v>43</v>
      </c>
      <c r="R230" s="10" t="s">
        <v>304</v>
      </c>
      <c r="S230" s="11"/>
      <c r="T230" s="6"/>
      <c r="U230" s="28" t="str">
        <f>HYPERLINK("https://media.infra-m.ru/2019/2019767/cover/2019767.jpg", "Обложка")</f>
        <v>Обложка</v>
      </c>
      <c r="V230" s="28" t="str">
        <f>HYPERLINK("https://znanium.com/catalog/product/2019767", "Ознакомиться")</f>
        <v>Ознакомиться</v>
      </c>
      <c r="W230" s="8" t="s">
        <v>107</v>
      </c>
      <c r="X230" s="6"/>
      <c r="Y230" s="6"/>
      <c r="Z230" s="6"/>
      <c r="AA230" s="6" t="s">
        <v>415</v>
      </c>
    </row>
    <row r="231" spans="1:27" s="4" customFormat="1" ht="44.1" customHeight="1">
      <c r="A231" s="5">
        <v>0</v>
      </c>
      <c r="B231" s="6" t="s">
        <v>1412</v>
      </c>
      <c r="C231" s="7">
        <v>864</v>
      </c>
      <c r="D231" s="8" t="s">
        <v>1413</v>
      </c>
      <c r="E231" s="8" t="s">
        <v>1414</v>
      </c>
      <c r="F231" s="8" t="s">
        <v>1366</v>
      </c>
      <c r="G231" s="6" t="s">
        <v>58</v>
      </c>
      <c r="H231" s="6" t="s">
        <v>38</v>
      </c>
      <c r="I231" s="8"/>
      <c r="J231" s="9">
        <v>1</v>
      </c>
      <c r="K231" s="9">
        <v>192</v>
      </c>
      <c r="L231" s="9">
        <v>2023</v>
      </c>
      <c r="M231" s="8" t="s">
        <v>1415</v>
      </c>
      <c r="N231" s="8" t="s">
        <v>40</v>
      </c>
      <c r="O231" s="8" t="s">
        <v>41</v>
      </c>
      <c r="P231" s="6" t="s">
        <v>42</v>
      </c>
      <c r="Q231" s="8" t="s">
        <v>43</v>
      </c>
      <c r="R231" s="10" t="s">
        <v>782</v>
      </c>
      <c r="S231" s="11"/>
      <c r="T231" s="6"/>
      <c r="U231" s="28" t="str">
        <f>HYPERLINK("https://media.infra-m.ru/2007/2007880/cover/2007880.jpg", "Обложка")</f>
        <v>Обложка</v>
      </c>
      <c r="V231" s="28" t="str">
        <f>HYPERLINK("https://znanium.com/catalog/product/989161", "Ознакомиться")</f>
        <v>Ознакомиться</v>
      </c>
      <c r="W231" s="8" t="s">
        <v>1368</v>
      </c>
      <c r="X231" s="6"/>
      <c r="Y231" s="6"/>
      <c r="Z231" s="6"/>
      <c r="AA231" s="6" t="s">
        <v>289</v>
      </c>
    </row>
    <row r="232" spans="1:27" s="4" customFormat="1" ht="42" customHeight="1">
      <c r="A232" s="5">
        <v>0</v>
      </c>
      <c r="B232" s="6" t="s">
        <v>1416</v>
      </c>
      <c r="C232" s="13">
        <v>1070</v>
      </c>
      <c r="D232" s="8" t="s">
        <v>1417</v>
      </c>
      <c r="E232" s="8" t="s">
        <v>1418</v>
      </c>
      <c r="F232" s="8" t="s">
        <v>1419</v>
      </c>
      <c r="G232" s="6" t="s">
        <v>37</v>
      </c>
      <c r="H232" s="6" t="s">
        <v>38</v>
      </c>
      <c r="I232" s="8"/>
      <c r="J232" s="9">
        <v>1</v>
      </c>
      <c r="K232" s="9">
        <v>232</v>
      </c>
      <c r="L232" s="9">
        <v>2023</v>
      </c>
      <c r="M232" s="8" t="s">
        <v>1420</v>
      </c>
      <c r="N232" s="8" t="s">
        <v>40</v>
      </c>
      <c r="O232" s="8" t="s">
        <v>41</v>
      </c>
      <c r="P232" s="6" t="s">
        <v>95</v>
      </c>
      <c r="Q232" s="8" t="s">
        <v>76</v>
      </c>
      <c r="R232" s="10" t="s">
        <v>113</v>
      </c>
      <c r="S232" s="11"/>
      <c r="T232" s="6"/>
      <c r="U232" s="28" t="str">
        <f>HYPERLINK("https://media.infra-m.ru/1977/1977068/cover/1977068.jpg", "Обложка")</f>
        <v>Обложка</v>
      </c>
      <c r="V232" s="28" t="str">
        <f>HYPERLINK("https://znanium.com/catalog/product/1977068", "Ознакомиться")</f>
        <v>Ознакомиться</v>
      </c>
      <c r="W232" s="8" t="s">
        <v>114</v>
      </c>
      <c r="X232" s="6"/>
      <c r="Y232" s="6"/>
      <c r="Z232" s="6"/>
      <c r="AA232" s="6" t="s">
        <v>343</v>
      </c>
    </row>
    <row r="233" spans="1:27" s="4" customFormat="1" ht="51.95" customHeight="1">
      <c r="A233" s="5">
        <v>0</v>
      </c>
      <c r="B233" s="6" t="s">
        <v>1421</v>
      </c>
      <c r="C233" s="13">
        <v>1834.9</v>
      </c>
      <c r="D233" s="8" t="s">
        <v>1422</v>
      </c>
      <c r="E233" s="8" t="s">
        <v>1423</v>
      </c>
      <c r="F233" s="8" t="s">
        <v>1419</v>
      </c>
      <c r="G233" s="6" t="s">
        <v>58</v>
      </c>
      <c r="H233" s="6" t="s">
        <v>38</v>
      </c>
      <c r="I233" s="8"/>
      <c r="J233" s="9">
        <v>1</v>
      </c>
      <c r="K233" s="9">
        <v>408</v>
      </c>
      <c r="L233" s="9">
        <v>2023</v>
      </c>
      <c r="M233" s="8" t="s">
        <v>1424</v>
      </c>
      <c r="N233" s="8" t="s">
        <v>40</v>
      </c>
      <c r="O233" s="8" t="s">
        <v>41</v>
      </c>
      <c r="P233" s="6" t="s">
        <v>42</v>
      </c>
      <c r="Q233" s="8" t="s">
        <v>43</v>
      </c>
      <c r="R233" s="10" t="s">
        <v>584</v>
      </c>
      <c r="S233" s="11"/>
      <c r="T233" s="6"/>
      <c r="U233" s="28" t="str">
        <f>HYPERLINK("https://media.infra-m.ru/1984/1984026/cover/1984026.jpg", "Обложка")</f>
        <v>Обложка</v>
      </c>
      <c r="V233" s="28" t="str">
        <f>HYPERLINK("https://znanium.com/catalog/product/1244960", "Ознакомиться")</f>
        <v>Ознакомиться</v>
      </c>
      <c r="W233" s="8" t="s">
        <v>114</v>
      </c>
      <c r="X233" s="6"/>
      <c r="Y233" s="6"/>
      <c r="Z233" s="6"/>
      <c r="AA233" s="6" t="s">
        <v>62</v>
      </c>
    </row>
    <row r="234" spans="1:27" s="4" customFormat="1" ht="51.95" customHeight="1">
      <c r="A234" s="5">
        <v>0</v>
      </c>
      <c r="B234" s="6" t="s">
        <v>1425</v>
      </c>
      <c r="C234" s="7">
        <v>770</v>
      </c>
      <c r="D234" s="8" t="s">
        <v>1426</v>
      </c>
      <c r="E234" s="8" t="s">
        <v>1427</v>
      </c>
      <c r="F234" s="8" t="s">
        <v>1428</v>
      </c>
      <c r="G234" s="6" t="s">
        <v>37</v>
      </c>
      <c r="H234" s="6" t="s">
        <v>84</v>
      </c>
      <c r="I234" s="8" t="s">
        <v>316</v>
      </c>
      <c r="J234" s="9">
        <v>1</v>
      </c>
      <c r="K234" s="9">
        <v>168</v>
      </c>
      <c r="L234" s="9">
        <v>2022</v>
      </c>
      <c r="M234" s="8" t="s">
        <v>1429</v>
      </c>
      <c r="N234" s="8" t="s">
        <v>40</v>
      </c>
      <c r="O234" s="8" t="s">
        <v>41</v>
      </c>
      <c r="P234" s="6" t="s">
        <v>75</v>
      </c>
      <c r="Q234" s="8" t="s">
        <v>157</v>
      </c>
      <c r="R234" s="10" t="s">
        <v>473</v>
      </c>
      <c r="S234" s="11" t="s">
        <v>1430</v>
      </c>
      <c r="T234" s="6"/>
      <c r="U234" s="28" t="str">
        <f>HYPERLINK("https://media.infra-m.ru/1816/1816290/cover/1816290.jpg", "Обложка")</f>
        <v>Обложка</v>
      </c>
      <c r="V234" s="28" t="str">
        <f>HYPERLINK("https://znanium.com/catalog/product/1816290", "Ознакомиться")</f>
        <v>Ознакомиться</v>
      </c>
      <c r="W234" s="8" t="s">
        <v>1431</v>
      </c>
      <c r="X234" s="6"/>
      <c r="Y234" s="6"/>
      <c r="Z234" s="6"/>
      <c r="AA234" s="6" t="s">
        <v>115</v>
      </c>
    </row>
    <row r="235" spans="1:27" s="4" customFormat="1" ht="42" customHeight="1">
      <c r="A235" s="5">
        <v>0</v>
      </c>
      <c r="B235" s="6" t="s">
        <v>1432</v>
      </c>
      <c r="C235" s="7">
        <v>894</v>
      </c>
      <c r="D235" s="8" t="s">
        <v>1433</v>
      </c>
      <c r="E235" s="8" t="s">
        <v>1434</v>
      </c>
      <c r="F235" s="8" t="s">
        <v>1435</v>
      </c>
      <c r="G235" s="6" t="s">
        <v>51</v>
      </c>
      <c r="H235" s="6" t="s">
        <v>38</v>
      </c>
      <c r="I235" s="8"/>
      <c r="J235" s="9">
        <v>1</v>
      </c>
      <c r="K235" s="9">
        <v>208</v>
      </c>
      <c r="L235" s="9">
        <v>2023</v>
      </c>
      <c r="M235" s="8" t="s">
        <v>1436</v>
      </c>
      <c r="N235" s="8" t="s">
        <v>40</v>
      </c>
      <c r="O235" s="8" t="s">
        <v>41</v>
      </c>
      <c r="P235" s="6" t="s">
        <v>42</v>
      </c>
      <c r="Q235" s="8" t="s">
        <v>43</v>
      </c>
      <c r="R235" s="10" t="s">
        <v>304</v>
      </c>
      <c r="S235" s="11"/>
      <c r="T235" s="6"/>
      <c r="U235" s="28" t="str">
        <f>HYPERLINK("https://media.infra-m.ru/1981/1981666/cover/1981666.jpg", "Обложка")</f>
        <v>Обложка</v>
      </c>
      <c r="V235" s="28" t="str">
        <f>HYPERLINK("https://znanium.com/catalog/product/1045604", "Ознакомиться")</f>
        <v>Ознакомиться</v>
      </c>
      <c r="W235" s="8" t="s">
        <v>242</v>
      </c>
      <c r="X235" s="6"/>
      <c r="Y235" s="6"/>
      <c r="Z235" s="6"/>
      <c r="AA235" s="6" t="s">
        <v>289</v>
      </c>
    </row>
    <row r="236" spans="1:27" s="4" customFormat="1" ht="42" customHeight="1">
      <c r="A236" s="5">
        <v>0</v>
      </c>
      <c r="B236" s="6" t="s">
        <v>1437</v>
      </c>
      <c r="C236" s="7">
        <v>810</v>
      </c>
      <c r="D236" s="8" t="s">
        <v>1438</v>
      </c>
      <c r="E236" s="8" t="s">
        <v>1439</v>
      </c>
      <c r="F236" s="8" t="s">
        <v>1440</v>
      </c>
      <c r="G236" s="6" t="s">
        <v>51</v>
      </c>
      <c r="H236" s="6" t="s">
        <v>38</v>
      </c>
      <c r="I236" s="8"/>
      <c r="J236" s="9">
        <v>1</v>
      </c>
      <c r="K236" s="9">
        <v>176</v>
      </c>
      <c r="L236" s="9">
        <v>2024</v>
      </c>
      <c r="M236" s="8" t="s">
        <v>1441</v>
      </c>
      <c r="N236" s="8" t="s">
        <v>40</v>
      </c>
      <c r="O236" s="8" t="s">
        <v>41</v>
      </c>
      <c r="P236" s="6" t="s">
        <v>42</v>
      </c>
      <c r="Q236" s="8" t="s">
        <v>43</v>
      </c>
      <c r="R236" s="10" t="s">
        <v>340</v>
      </c>
      <c r="S236" s="11"/>
      <c r="T236" s="6"/>
      <c r="U236" s="28" t="str">
        <f>HYPERLINK("https://media.infra-m.ru/2119/2119111/cover/2119111.jpg", "Обложка")</f>
        <v>Обложка</v>
      </c>
      <c r="V236" s="28" t="str">
        <f>HYPERLINK("https://znanium.com/catalog/product/2119111", "Ознакомиться")</f>
        <v>Ознакомиться</v>
      </c>
      <c r="W236" s="8" t="s">
        <v>114</v>
      </c>
      <c r="X236" s="6"/>
      <c r="Y236" s="6"/>
      <c r="Z236" s="6"/>
      <c r="AA236" s="6" t="s">
        <v>148</v>
      </c>
    </row>
    <row r="237" spans="1:27" s="4" customFormat="1" ht="51.95" customHeight="1">
      <c r="A237" s="5">
        <v>0</v>
      </c>
      <c r="B237" s="6" t="s">
        <v>1442</v>
      </c>
      <c r="C237" s="7">
        <v>840</v>
      </c>
      <c r="D237" s="8" t="s">
        <v>1443</v>
      </c>
      <c r="E237" s="8" t="s">
        <v>1444</v>
      </c>
      <c r="F237" s="8" t="s">
        <v>723</v>
      </c>
      <c r="G237" s="6" t="s">
        <v>58</v>
      </c>
      <c r="H237" s="6" t="s">
        <v>52</v>
      </c>
      <c r="I237" s="8" t="s">
        <v>251</v>
      </c>
      <c r="J237" s="9">
        <v>1</v>
      </c>
      <c r="K237" s="9">
        <v>173</v>
      </c>
      <c r="L237" s="9">
        <v>2024</v>
      </c>
      <c r="M237" s="8" t="s">
        <v>1445</v>
      </c>
      <c r="N237" s="8" t="s">
        <v>40</v>
      </c>
      <c r="O237" s="8" t="s">
        <v>41</v>
      </c>
      <c r="P237" s="6" t="s">
        <v>42</v>
      </c>
      <c r="Q237" s="8" t="s">
        <v>43</v>
      </c>
      <c r="R237" s="10" t="s">
        <v>77</v>
      </c>
      <c r="S237" s="11"/>
      <c r="T237" s="6"/>
      <c r="U237" s="28" t="str">
        <f>HYPERLINK("https://media.infra-m.ru/2091/2091864/cover/2091864.jpg", "Обложка")</f>
        <v>Обложка</v>
      </c>
      <c r="V237" s="12"/>
      <c r="W237" s="8" t="s">
        <v>726</v>
      </c>
      <c r="X237" s="6" t="s">
        <v>1446</v>
      </c>
      <c r="Y237" s="6"/>
      <c r="Z237" s="6"/>
      <c r="AA237" s="6" t="s">
        <v>100</v>
      </c>
    </row>
    <row r="238" spans="1:27" s="4" customFormat="1" ht="51.95" customHeight="1">
      <c r="A238" s="5">
        <v>0</v>
      </c>
      <c r="B238" s="6" t="s">
        <v>1447</v>
      </c>
      <c r="C238" s="13">
        <v>1190</v>
      </c>
      <c r="D238" s="8" t="s">
        <v>1448</v>
      </c>
      <c r="E238" s="8" t="s">
        <v>1449</v>
      </c>
      <c r="F238" s="8" t="s">
        <v>515</v>
      </c>
      <c r="G238" s="6" t="s">
        <v>37</v>
      </c>
      <c r="H238" s="6" t="s">
        <v>38</v>
      </c>
      <c r="I238" s="8"/>
      <c r="J238" s="9">
        <v>1</v>
      </c>
      <c r="K238" s="9">
        <v>304</v>
      </c>
      <c r="L238" s="9">
        <v>2022</v>
      </c>
      <c r="M238" s="8" t="s">
        <v>1450</v>
      </c>
      <c r="N238" s="8" t="s">
        <v>40</v>
      </c>
      <c r="O238" s="8" t="s">
        <v>41</v>
      </c>
      <c r="P238" s="6" t="s">
        <v>42</v>
      </c>
      <c r="Q238" s="8" t="s">
        <v>43</v>
      </c>
      <c r="R238" s="10" t="s">
        <v>1318</v>
      </c>
      <c r="S238" s="11"/>
      <c r="T238" s="6"/>
      <c r="U238" s="28" t="str">
        <f>HYPERLINK("https://media.infra-m.ru/1865/1865964/cover/1865964.jpg", "Обложка")</f>
        <v>Обложка</v>
      </c>
      <c r="V238" s="28" t="str">
        <f>HYPERLINK("https://znanium.com/catalog/product/1865964", "Ознакомиться")</f>
        <v>Ознакомиться</v>
      </c>
      <c r="W238" s="8" t="s">
        <v>45</v>
      </c>
      <c r="X238" s="6"/>
      <c r="Y238" s="6"/>
      <c r="Z238" s="6"/>
      <c r="AA238" s="6" t="s">
        <v>79</v>
      </c>
    </row>
    <row r="239" spans="1:27" s="4" customFormat="1" ht="42" customHeight="1">
      <c r="A239" s="5">
        <v>0</v>
      </c>
      <c r="B239" s="6" t="s">
        <v>1451</v>
      </c>
      <c r="C239" s="13">
        <v>1600</v>
      </c>
      <c r="D239" s="8" t="s">
        <v>1452</v>
      </c>
      <c r="E239" s="8" t="s">
        <v>1453</v>
      </c>
      <c r="F239" s="8" t="s">
        <v>515</v>
      </c>
      <c r="G239" s="6" t="s">
        <v>37</v>
      </c>
      <c r="H239" s="6" t="s">
        <v>38</v>
      </c>
      <c r="I239" s="8"/>
      <c r="J239" s="9">
        <v>1</v>
      </c>
      <c r="K239" s="9">
        <v>400</v>
      </c>
      <c r="L239" s="9">
        <v>2022</v>
      </c>
      <c r="M239" s="8" t="s">
        <v>1454</v>
      </c>
      <c r="N239" s="8" t="s">
        <v>40</v>
      </c>
      <c r="O239" s="8" t="s">
        <v>41</v>
      </c>
      <c r="P239" s="6" t="s">
        <v>42</v>
      </c>
      <c r="Q239" s="8" t="s">
        <v>43</v>
      </c>
      <c r="R239" s="10" t="s">
        <v>304</v>
      </c>
      <c r="S239" s="11"/>
      <c r="T239" s="6"/>
      <c r="U239" s="28" t="str">
        <f>HYPERLINK("https://media.infra-m.ru/1761/1761836/cover/1761836.jpg", "Обложка")</f>
        <v>Обложка</v>
      </c>
      <c r="V239" s="28" t="str">
        <f>HYPERLINK("https://znanium.com/catalog/product/1761836", "Ознакомиться")</f>
        <v>Ознакомиться</v>
      </c>
      <c r="W239" s="8" t="s">
        <v>45</v>
      </c>
      <c r="X239" s="6"/>
      <c r="Y239" s="6"/>
      <c r="Z239" s="6"/>
      <c r="AA239" s="6" t="s">
        <v>79</v>
      </c>
    </row>
    <row r="240" spans="1:27" s="4" customFormat="1" ht="44.1" customHeight="1">
      <c r="A240" s="5">
        <v>0</v>
      </c>
      <c r="B240" s="6" t="s">
        <v>1455</v>
      </c>
      <c r="C240" s="7">
        <v>644.9</v>
      </c>
      <c r="D240" s="8" t="s">
        <v>1456</v>
      </c>
      <c r="E240" s="8" t="s">
        <v>1457</v>
      </c>
      <c r="F240" s="8" t="s">
        <v>1458</v>
      </c>
      <c r="G240" s="6" t="s">
        <v>58</v>
      </c>
      <c r="H240" s="6" t="s">
        <v>38</v>
      </c>
      <c r="I240" s="8"/>
      <c r="J240" s="9">
        <v>1</v>
      </c>
      <c r="K240" s="9">
        <v>224</v>
      </c>
      <c r="L240" s="9">
        <v>2019</v>
      </c>
      <c r="M240" s="8" t="s">
        <v>1459</v>
      </c>
      <c r="N240" s="8" t="s">
        <v>40</v>
      </c>
      <c r="O240" s="8" t="s">
        <v>41</v>
      </c>
      <c r="P240" s="6" t="s">
        <v>42</v>
      </c>
      <c r="Q240" s="8" t="s">
        <v>296</v>
      </c>
      <c r="R240" s="10" t="s">
        <v>304</v>
      </c>
      <c r="S240" s="11"/>
      <c r="T240" s="6"/>
      <c r="U240" s="28" t="str">
        <f>HYPERLINK("https://media.infra-m.ru/1007/1007937/cover/1007937.jpg", "Обложка")</f>
        <v>Обложка</v>
      </c>
      <c r="V240" s="28" t="str">
        <f>HYPERLINK("https://znanium.com/catalog/product/1007937", "Ознакомиться")</f>
        <v>Ознакомиться</v>
      </c>
      <c r="W240" s="8" t="s">
        <v>158</v>
      </c>
      <c r="X240" s="6"/>
      <c r="Y240" s="6"/>
      <c r="Z240" s="6"/>
      <c r="AA240" s="6" t="s">
        <v>415</v>
      </c>
    </row>
    <row r="241" spans="1:27" s="4" customFormat="1" ht="42" customHeight="1">
      <c r="A241" s="5">
        <v>0</v>
      </c>
      <c r="B241" s="6" t="s">
        <v>1460</v>
      </c>
      <c r="C241" s="13">
        <v>1889.9</v>
      </c>
      <c r="D241" s="8" t="s">
        <v>1461</v>
      </c>
      <c r="E241" s="8" t="s">
        <v>1462</v>
      </c>
      <c r="F241" s="8" t="s">
        <v>1463</v>
      </c>
      <c r="G241" s="6" t="s">
        <v>58</v>
      </c>
      <c r="H241" s="6" t="s">
        <v>38</v>
      </c>
      <c r="I241" s="8"/>
      <c r="J241" s="9">
        <v>1</v>
      </c>
      <c r="K241" s="9">
        <v>608</v>
      </c>
      <c r="L241" s="9">
        <v>2018</v>
      </c>
      <c r="M241" s="8" t="s">
        <v>1464</v>
      </c>
      <c r="N241" s="8" t="s">
        <v>40</v>
      </c>
      <c r="O241" s="8" t="s">
        <v>41</v>
      </c>
      <c r="P241" s="6" t="s">
        <v>42</v>
      </c>
      <c r="Q241" s="8" t="s">
        <v>43</v>
      </c>
      <c r="R241" s="10"/>
      <c r="S241" s="11"/>
      <c r="T241" s="6"/>
      <c r="U241" s="28" t="str">
        <f>HYPERLINK("https://media.infra-m.ru/0958/0958919/cover/958919.jpg", "Обложка")</f>
        <v>Обложка</v>
      </c>
      <c r="V241" s="12"/>
      <c r="W241" s="8" t="s">
        <v>107</v>
      </c>
      <c r="X241" s="6"/>
      <c r="Y241" s="6"/>
      <c r="Z241" s="6"/>
      <c r="AA241" s="6" t="s">
        <v>148</v>
      </c>
    </row>
    <row r="242" spans="1:27" s="4" customFormat="1" ht="51.95" customHeight="1">
      <c r="A242" s="5">
        <v>0</v>
      </c>
      <c r="B242" s="6" t="s">
        <v>1465</v>
      </c>
      <c r="C242" s="7">
        <v>414.9</v>
      </c>
      <c r="D242" s="8" t="s">
        <v>1466</v>
      </c>
      <c r="E242" s="8" t="s">
        <v>1467</v>
      </c>
      <c r="F242" s="8" t="s">
        <v>1468</v>
      </c>
      <c r="G242" s="6" t="s">
        <v>51</v>
      </c>
      <c r="H242" s="6" t="s">
        <v>52</v>
      </c>
      <c r="I242" s="8" t="s">
        <v>251</v>
      </c>
      <c r="J242" s="9">
        <v>1</v>
      </c>
      <c r="K242" s="9">
        <v>91</v>
      </c>
      <c r="L242" s="9">
        <v>2023</v>
      </c>
      <c r="M242" s="8" t="s">
        <v>1469</v>
      </c>
      <c r="N242" s="8" t="s">
        <v>40</v>
      </c>
      <c r="O242" s="8" t="s">
        <v>41</v>
      </c>
      <c r="P242" s="6" t="s">
        <v>42</v>
      </c>
      <c r="Q242" s="8" t="s">
        <v>43</v>
      </c>
      <c r="R242" s="10" t="s">
        <v>1470</v>
      </c>
      <c r="S242" s="11"/>
      <c r="T242" s="6" t="s">
        <v>368</v>
      </c>
      <c r="U242" s="28" t="str">
        <f>HYPERLINK("https://media.infra-m.ru/1895/1895619/cover/1895619.jpg", "Обложка")</f>
        <v>Обложка</v>
      </c>
      <c r="V242" s="28" t="str">
        <f>HYPERLINK("https://znanium.com/catalog/product/965386", "Ознакомиться")</f>
        <v>Ознакомиться</v>
      </c>
      <c r="W242" s="8" t="s">
        <v>726</v>
      </c>
      <c r="X242" s="6"/>
      <c r="Y242" s="6"/>
      <c r="Z242" s="6"/>
      <c r="AA242" s="6" t="s">
        <v>298</v>
      </c>
    </row>
    <row r="243" spans="1:27" s="4" customFormat="1" ht="51.95" customHeight="1">
      <c r="A243" s="5">
        <v>0</v>
      </c>
      <c r="B243" s="6" t="s">
        <v>1471</v>
      </c>
      <c r="C243" s="13">
        <v>2350</v>
      </c>
      <c r="D243" s="8" t="s">
        <v>1472</v>
      </c>
      <c r="E243" s="8" t="s">
        <v>1473</v>
      </c>
      <c r="F243" s="8" t="s">
        <v>1474</v>
      </c>
      <c r="G243" s="6" t="s">
        <v>58</v>
      </c>
      <c r="H243" s="6" t="s">
        <v>84</v>
      </c>
      <c r="I243" s="8"/>
      <c r="J243" s="9">
        <v>1</v>
      </c>
      <c r="K243" s="9">
        <v>650</v>
      </c>
      <c r="L243" s="9">
        <v>2024</v>
      </c>
      <c r="M243" s="8" t="s">
        <v>1475</v>
      </c>
      <c r="N243" s="8" t="s">
        <v>40</v>
      </c>
      <c r="O243" s="8" t="s">
        <v>41</v>
      </c>
      <c r="P243" s="6" t="s">
        <v>68</v>
      </c>
      <c r="Q243" s="8" t="s">
        <v>43</v>
      </c>
      <c r="R243" s="10" t="s">
        <v>1476</v>
      </c>
      <c r="S243" s="11"/>
      <c r="T243" s="6"/>
      <c r="U243" s="28" t="str">
        <f>HYPERLINK("https://media.infra-m.ru/2104/2104295/cover/2104295.jpg", "Обложка")</f>
        <v>Обложка</v>
      </c>
      <c r="V243" s="28" t="str">
        <f>HYPERLINK("https://znanium.com/catalog/product/2104295", "Ознакомиться")</f>
        <v>Ознакомиться</v>
      </c>
      <c r="W243" s="8" t="s">
        <v>114</v>
      </c>
      <c r="X243" s="6"/>
      <c r="Y243" s="6"/>
      <c r="Z243" s="6"/>
      <c r="AA243" s="6" t="s">
        <v>524</v>
      </c>
    </row>
    <row r="244" spans="1:27" s="4" customFormat="1" ht="51.95" customHeight="1">
      <c r="A244" s="5">
        <v>0</v>
      </c>
      <c r="B244" s="6" t="s">
        <v>1477</v>
      </c>
      <c r="C244" s="13">
        <v>2380</v>
      </c>
      <c r="D244" s="8" t="s">
        <v>1478</v>
      </c>
      <c r="E244" s="8" t="s">
        <v>1479</v>
      </c>
      <c r="F244" s="8" t="s">
        <v>1480</v>
      </c>
      <c r="G244" s="6" t="s">
        <v>37</v>
      </c>
      <c r="H244" s="6" t="s">
        <v>38</v>
      </c>
      <c r="I244" s="8"/>
      <c r="J244" s="9">
        <v>1</v>
      </c>
      <c r="K244" s="9">
        <v>528</v>
      </c>
      <c r="L244" s="9">
        <v>2023</v>
      </c>
      <c r="M244" s="8" t="s">
        <v>1481</v>
      </c>
      <c r="N244" s="8" t="s">
        <v>40</v>
      </c>
      <c r="O244" s="8" t="s">
        <v>41</v>
      </c>
      <c r="P244" s="6" t="s">
        <v>95</v>
      </c>
      <c r="Q244" s="8" t="s">
        <v>76</v>
      </c>
      <c r="R244" s="10" t="s">
        <v>318</v>
      </c>
      <c r="S244" s="11"/>
      <c r="T244" s="6"/>
      <c r="U244" s="28" t="str">
        <f>HYPERLINK("https://media.infra-m.ru/1938/1938052/cover/1938052.jpg", "Обложка")</f>
        <v>Обложка</v>
      </c>
      <c r="V244" s="28" t="str">
        <f>HYPERLINK("https://znanium.com/catalog/product/1938052", "Ознакомиться")</f>
        <v>Ознакомиться</v>
      </c>
      <c r="W244" s="8" t="s">
        <v>1482</v>
      </c>
      <c r="X244" s="6"/>
      <c r="Y244" s="6"/>
      <c r="Z244" s="6"/>
      <c r="AA244" s="6" t="s">
        <v>46</v>
      </c>
    </row>
    <row r="245" spans="1:27" s="4" customFormat="1" ht="51.95" customHeight="1">
      <c r="A245" s="5">
        <v>0</v>
      </c>
      <c r="B245" s="6" t="s">
        <v>1483</v>
      </c>
      <c r="C245" s="13">
        <v>1920</v>
      </c>
      <c r="D245" s="8" t="s">
        <v>1484</v>
      </c>
      <c r="E245" s="8" t="s">
        <v>1485</v>
      </c>
      <c r="F245" s="8" t="s">
        <v>1480</v>
      </c>
      <c r="G245" s="6" t="s">
        <v>58</v>
      </c>
      <c r="H245" s="6" t="s">
        <v>38</v>
      </c>
      <c r="I245" s="8"/>
      <c r="J245" s="9">
        <v>1</v>
      </c>
      <c r="K245" s="9">
        <v>416</v>
      </c>
      <c r="L245" s="9">
        <v>2024</v>
      </c>
      <c r="M245" s="8" t="s">
        <v>1486</v>
      </c>
      <c r="N245" s="8" t="s">
        <v>40</v>
      </c>
      <c r="O245" s="8" t="s">
        <v>41</v>
      </c>
      <c r="P245" s="6" t="s">
        <v>95</v>
      </c>
      <c r="Q245" s="8" t="s">
        <v>76</v>
      </c>
      <c r="R245" s="10" t="s">
        <v>122</v>
      </c>
      <c r="S245" s="11"/>
      <c r="T245" s="6"/>
      <c r="U245" s="28" t="str">
        <f>HYPERLINK("https://media.infra-m.ru/2091/2091880/cover/2091880.jpg", "Обложка")</f>
        <v>Обложка</v>
      </c>
      <c r="V245" s="28" t="str">
        <f>HYPERLINK("https://znanium.com/catalog/product/2091880", "Ознакомиться")</f>
        <v>Ознакомиться</v>
      </c>
      <c r="W245" s="8" t="s">
        <v>1482</v>
      </c>
      <c r="X245" s="6"/>
      <c r="Y245" s="6"/>
      <c r="Z245" s="6"/>
      <c r="AA245" s="6" t="s">
        <v>46</v>
      </c>
    </row>
    <row r="246" spans="1:27" s="4" customFormat="1" ht="51.95" customHeight="1">
      <c r="A246" s="5">
        <v>0</v>
      </c>
      <c r="B246" s="6" t="s">
        <v>1487</v>
      </c>
      <c r="C246" s="7">
        <v>844</v>
      </c>
      <c r="D246" s="8" t="s">
        <v>1488</v>
      </c>
      <c r="E246" s="8" t="s">
        <v>1489</v>
      </c>
      <c r="F246" s="8" t="s">
        <v>1490</v>
      </c>
      <c r="G246" s="6" t="s">
        <v>37</v>
      </c>
      <c r="H246" s="6" t="s">
        <v>84</v>
      </c>
      <c r="I246" s="8" t="s">
        <v>1491</v>
      </c>
      <c r="J246" s="9">
        <v>1</v>
      </c>
      <c r="K246" s="9">
        <v>182</v>
      </c>
      <c r="L246" s="9">
        <v>2024</v>
      </c>
      <c r="M246" s="8" t="s">
        <v>1492</v>
      </c>
      <c r="N246" s="8" t="s">
        <v>40</v>
      </c>
      <c r="O246" s="8" t="s">
        <v>41</v>
      </c>
      <c r="P246" s="6" t="s">
        <v>75</v>
      </c>
      <c r="Q246" s="8" t="s">
        <v>76</v>
      </c>
      <c r="R246" s="10" t="s">
        <v>1345</v>
      </c>
      <c r="S246" s="11" t="s">
        <v>1493</v>
      </c>
      <c r="T246" s="6"/>
      <c r="U246" s="28" t="str">
        <f>HYPERLINK("https://media.infra-m.ru/2006/2006935/cover/2006935.jpg", "Обложка")</f>
        <v>Обложка</v>
      </c>
      <c r="V246" s="28" t="str">
        <f>HYPERLINK("https://znanium.com/catalog/product/1859031", "Ознакомиться")</f>
        <v>Ознакомиться</v>
      </c>
      <c r="W246" s="8" t="s">
        <v>114</v>
      </c>
      <c r="X246" s="6"/>
      <c r="Y246" s="6"/>
      <c r="Z246" s="6"/>
      <c r="AA246" s="6" t="s">
        <v>79</v>
      </c>
    </row>
    <row r="247" spans="1:27" s="4" customFormat="1" ht="42" customHeight="1">
      <c r="A247" s="5">
        <v>0</v>
      </c>
      <c r="B247" s="6" t="s">
        <v>1494</v>
      </c>
      <c r="C247" s="13">
        <v>1344.9</v>
      </c>
      <c r="D247" s="8" t="s">
        <v>1495</v>
      </c>
      <c r="E247" s="8" t="s">
        <v>1496</v>
      </c>
      <c r="F247" s="8" t="s">
        <v>1497</v>
      </c>
      <c r="G247" s="6" t="s">
        <v>58</v>
      </c>
      <c r="H247" s="6" t="s">
        <v>38</v>
      </c>
      <c r="I247" s="8"/>
      <c r="J247" s="9">
        <v>1</v>
      </c>
      <c r="K247" s="9">
        <v>320</v>
      </c>
      <c r="L247" s="9">
        <v>2022</v>
      </c>
      <c r="M247" s="8" t="s">
        <v>1498</v>
      </c>
      <c r="N247" s="8" t="s">
        <v>40</v>
      </c>
      <c r="O247" s="8" t="s">
        <v>41</v>
      </c>
      <c r="P247" s="6" t="s">
        <v>42</v>
      </c>
      <c r="Q247" s="8" t="s">
        <v>43</v>
      </c>
      <c r="R247" s="10" t="s">
        <v>310</v>
      </c>
      <c r="S247" s="11"/>
      <c r="T247" s="6"/>
      <c r="U247" s="28" t="str">
        <f>HYPERLINK("https://media.infra-m.ru/1875/1875042/cover/1875042.jpg", "Обложка")</f>
        <v>Обложка</v>
      </c>
      <c r="V247" s="28" t="str">
        <f>HYPERLINK("https://znanium.com/catalog/product/1045788", "Ознакомиться")</f>
        <v>Ознакомиться</v>
      </c>
      <c r="W247" s="8" t="s">
        <v>107</v>
      </c>
      <c r="X247" s="6"/>
      <c r="Y247" s="6"/>
      <c r="Z247" s="6"/>
      <c r="AA247" s="6" t="s">
        <v>148</v>
      </c>
    </row>
    <row r="248" spans="1:27" s="4" customFormat="1" ht="51.95" customHeight="1">
      <c r="A248" s="5">
        <v>0</v>
      </c>
      <c r="B248" s="6" t="s">
        <v>1499</v>
      </c>
      <c r="C248" s="13">
        <v>1370</v>
      </c>
      <c r="D248" s="8" t="s">
        <v>1500</v>
      </c>
      <c r="E248" s="8" t="s">
        <v>1501</v>
      </c>
      <c r="F248" s="8" t="s">
        <v>1502</v>
      </c>
      <c r="G248" s="6" t="s">
        <v>37</v>
      </c>
      <c r="H248" s="6" t="s">
        <v>38</v>
      </c>
      <c r="I248" s="8"/>
      <c r="J248" s="9">
        <v>1</v>
      </c>
      <c r="K248" s="9">
        <v>304</v>
      </c>
      <c r="L248" s="9">
        <v>2023</v>
      </c>
      <c r="M248" s="8" t="s">
        <v>1503</v>
      </c>
      <c r="N248" s="8" t="s">
        <v>40</v>
      </c>
      <c r="O248" s="8" t="s">
        <v>41</v>
      </c>
      <c r="P248" s="6" t="s">
        <v>95</v>
      </c>
      <c r="Q248" s="8" t="s">
        <v>76</v>
      </c>
      <c r="R248" s="10" t="s">
        <v>122</v>
      </c>
      <c r="S248" s="11" t="s">
        <v>1504</v>
      </c>
      <c r="T248" s="6"/>
      <c r="U248" s="28" t="str">
        <f>HYPERLINK("https://media.infra-m.ru/1914/1914000/cover/1914000.jpg", "Обложка")</f>
        <v>Обложка</v>
      </c>
      <c r="V248" s="28" t="str">
        <f>HYPERLINK("https://znanium.com/catalog/product/1914000", "Ознакомиться")</f>
        <v>Ознакомиться</v>
      </c>
      <c r="W248" s="8" t="s">
        <v>114</v>
      </c>
      <c r="X248" s="6"/>
      <c r="Y248" s="6"/>
      <c r="Z248" s="6"/>
      <c r="AA248" s="6" t="s">
        <v>298</v>
      </c>
    </row>
    <row r="249" spans="1:27" s="4" customFormat="1" ht="44.1" customHeight="1">
      <c r="A249" s="5">
        <v>0</v>
      </c>
      <c r="B249" s="6" t="s">
        <v>1505</v>
      </c>
      <c r="C249" s="7">
        <v>364</v>
      </c>
      <c r="D249" s="8" t="s">
        <v>1506</v>
      </c>
      <c r="E249" s="8" t="s">
        <v>1507</v>
      </c>
      <c r="F249" s="8" t="s">
        <v>1508</v>
      </c>
      <c r="G249" s="6" t="s">
        <v>51</v>
      </c>
      <c r="H249" s="6" t="s">
        <v>38</v>
      </c>
      <c r="I249" s="8"/>
      <c r="J249" s="9">
        <v>1</v>
      </c>
      <c r="K249" s="9">
        <v>64</v>
      </c>
      <c r="L249" s="9">
        <v>2022</v>
      </c>
      <c r="M249" s="8" t="s">
        <v>1509</v>
      </c>
      <c r="N249" s="8" t="s">
        <v>40</v>
      </c>
      <c r="O249" s="8" t="s">
        <v>41</v>
      </c>
      <c r="P249" s="6" t="s">
        <v>42</v>
      </c>
      <c r="Q249" s="8" t="s">
        <v>43</v>
      </c>
      <c r="R249" s="10" t="s">
        <v>1510</v>
      </c>
      <c r="S249" s="11"/>
      <c r="T249" s="6"/>
      <c r="U249" s="28" t="str">
        <f>HYPERLINK("https://media.infra-m.ru/1938/1938053/cover/1938053.jpg", "Обложка")</f>
        <v>Обложка</v>
      </c>
      <c r="V249" s="28" t="str">
        <f>HYPERLINK("https://znanium.com/catalog/product/1852211", "Ознакомиться")</f>
        <v>Ознакомиться</v>
      </c>
      <c r="W249" s="8" t="s">
        <v>1511</v>
      </c>
      <c r="X249" s="6"/>
      <c r="Y249" s="6"/>
      <c r="Z249" s="6"/>
      <c r="AA249" s="6" t="s">
        <v>422</v>
      </c>
    </row>
    <row r="250" spans="1:27" s="4" customFormat="1" ht="42" customHeight="1">
      <c r="A250" s="5">
        <v>0</v>
      </c>
      <c r="B250" s="6" t="s">
        <v>1512</v>
      </c>
      <c r="C250" s="13">
        <v>2497</v>
      </c>
      <c r="D250" s="8" t="s">
        <v>1513</v>
      </c>
      <c r="E250" s="8" t="s">
        <v>1514</v>
      </c>
      <c r="F250" s="8"/>
      <c r="G250" s="6" t="s">
        <v>51</v>
      </c>
      <c r="H250" s="6" t="s">
        <v>38</v>
      </c>
      <c r="I250" s="8"/>
      <c r="J250" s="9">
        <v>1</v>
      </c>
      <c r="K250" s="9">
        <v>164</v>
      </c>
      <c r="L250" s="9">
        <v>2023</v>
      </c>
      <c r="M250" s="8"/>
      <c r="N250" s="8" t="s">
        <v>40</v>
      </c>
      <c r="O250" s="8" t="s">
        <v>41</v>
      </c>
      <c r="P250" s="6" t="s">
        <v>53</v>
      </c>
      <c r="Q250" s="8"/>
      <c r="R250" s="10"/>
      <c r="S250" s="11"/>
      <c r="T250" s="6"/>
      <c r="U250" s="28" t="str">
        <f>HYPERLINK("https://media.infra-m.ru/1944/1944362/cover/1944362.jpg", "Обложка")</f>
        <v>Обложка</v>
      </c>
      <c r="V250" s="28" t="str">
        <f>HYPERLINK("https://znanium.com/catalog/product/1944362", "Ознакомиться")</f>
        <v>Ознакомиться</v>
      </c>
      <c r="W250" s="8"/>
      <c r="X250" s="6" t="s">
        <v>1446</v>
      </c>
      <c r="Y250" s="6"/>
      <c r="Z250" s="6"/>
      <c r="AA250" s="6" t="s">
        <v>298</v>
      </c>
    </row>
    <row r="251" spans="1:27" s="4" customFormat="1" ht="42" customHeight="1">
      <c r="A251" s="5">
        <v>0</v>
      </c>
      <c r="B251" s="6" t="s">
        <v>1515</v>
      </c>
      <c r="C251" s="7">
        <v>550</v>
      </c>
      <c r="D251" s="8" t="s">
        <v>1516</v>
      </c>
      <c r="E251" s="8" t="s">
        <v>1517</v>
      </c>
      <c r="F251" s="8"/>
      <c r="G251" s="6" t="s">
        <v>51</v>
      </c>
      <c r="H251" s="6" t="s">
        <v>38</v>
      </c>
      <c r="I251" s="8"/>
      <c r="J251" s="9">
        <v>24</v>
      </c>
      <c r="K251" s="9">
        <v>184</v>
      </c>
      <c r="L251" s="9">
        <v>2016</v>
      </c>
      <c r="M251" s="8"/>
      <c r="N251" s="8" t="s">
        <v>40</v>
      </c>
      <c r="O251" s="8" t="s">
        <v>41</v>
      </c>
      <c r="P251" s="6" t="s">
        <v>53</v>
      </c>
      <c r="Q251" s="8" t="s">
        <v>43</v>
      </c>
      <c r="R251" s="10"/>
      <c r="S251" s="11"/>
      <c r="T251" s="6"/>
      <c r="U251" s="28" t="str">
        <f>HYPERLINK("https://media.infra-m.ru/0780/0780604/cover/780604.jpg", "Обложка")</f>
        <v>Обложка</v>
      </c>
      <c r="V251" s="28" t="str">
        <f>HYPERLINK("https://znanium.com/catalog/product/1960122", "Ознакомиться")</f>
        <v>Ознакомиться</v>
      </c>
      <c r="W251" s="8"/>
      <c r="X251" s="6"/>
      <c r="Y251" s="6"/>
      <c r="Z251" s="6"/>
      <c r="AA251" s="6"/>
    </row>
    <row r="252" spans="1:27" s="4" customFormat="1" ht="42" customHeight="1">
      <c r="A252" s="5">
        <v>0</v>
      </c>
      <c r="B252" s="6" t="s">
        <v>1518</v>
      </c>
      <c r="C252" s="13">
        <v>1595</v>
      </c>
      <c r="D252" s="8" t="s">
        <v>1519</v>
      </c>
      <c r="E252" s="8" t="s">
        <v>1520</v>
      </c>
      <c r="F252" s="8"/>
      <c r="G252" s="6" t="s">
        <v>51</v>
      </c>
      <c r="H252" s="6" t="s">
        <v>38</v>
      </c>
      <c r="I252" s="8"/>
      <c r="J252" s="9">
        <v>1</v>
      </c>
      <c r="K252" s="9">
        <v>160</v>
      </c>
      <c r="L252" s="9">
        <v>2023</v>
      </c>
      <c r="M252" s="8"/>
      <c r="N252" s="8" t="s">
        <v>40</v>
      </c>
      <c r="O252" s="8" t="s">
        <v>41</v>
      </c>
      <c r="P252" s="6" t="s">
        <v>53</v>
      </c>
      <c r="Q252" s="8"/>
      <c r="R252" s="10"/>
      <c r="S252" s="11"/>
      <c r="T252" s="6"/>
      <c r="U252" s="28" t="str">
        <f>HYPERLINK("https://media.infra-m.ru/1960/1960122/cover/1960122.jpg", "Обложка")</f>
        <v>Обложка</v>
      </c>
      <c r="V252" s="28" t="str">
        <f>HYPERLINK("https://znanium.com/catalog/product/1960122", "Ознакомиться")</f>
        <v>Ознакомиться</v>
      </c>
      <c r="W252" s="8"/>
      <c r="X252" s="6" t="s">
        <v>1446</v>
      </c>
      <c r="Y252" s="6"/>
      <c r="Z252" s="6"/>
      <c r="AA252" s="6" t="s">
        <v>422</v>
      </c>
    </row>
    <row r="253" spans="1:27" s="4" customFormat="1" ht="42" customHeight="1">
      <c r="A253" s="5">
        <v>0</v>
      </c>
      <c r="B253" s="6" t="s">
        <v>1521</v>
      </c>
      <c r="C253" s="7">
        <v>460</v>
      </c>
      <c r="D253" s="8" t="s">
        <v>1522</v>
      </c>
      <c r="E253" s="8" t="s">
        <v>1523</v>
      </c>
      <c r="F253" s="8" t="s">
        <v>1524</v>
      </c>
      <c r="G253" s="6" t="s">
        <v>51</v>
      </c>
      <c r="H253" s="6" t="s">
        <v>84</v>
      </c>
      <c r="I253" s="8" t="s">
        <v>1525</v>
      </c>
      <c r="J253" s="9">
        <v>1</v>
      </c>
      <c r="K253" s="9">
        <v>110</v>
      </c>
      <c r="L253" s="9">
        <v>2023</v>
      </c>
      <c r="M253" s="8" t="s">
        <v>1526</v>
      </c>
      <c r="N253" s="8" t="s">
        <v>40</v>
      </c>
      <c r="O253" s="8" t="s">
        <v>41</v>
      </c>
      <c r="P253" s="6" t="s">
        <v>295</v>
      </c>
      <c r="Q253" s="8" t="s">
        <v>43</v>
      </c>
      <c r="R253" s="10" t="s">
        <v>304</v>
      </c>
      <c r="S253" s="11"/>
      <c r="T253" s="6"/>
      <c r="U253" s="28" t="str">
        <f>HYPERLINK("https://media.infra-m.ru/1870/1870569/cover/1870569.jpg", "Обложка")</f>
        <v>Обложка</v>
      </c>
      <c r="V253" s="28" t="str">
        <f>HYPERLINK("https://znanium.com/catalog/product/1870569", "Ознакомиться")</f>
        <v>Ознакомиться</v>
      </c>
      <c r="W253" s="8" t="s">
        <v>1362</v>
      </c>
      <c r="X253" s="6"/>
      <c r="Y253" s="6"/>
      <c r="Z253" s="6"/>
      <c r="AA253" s="6" t="s">
        <v>1273</v>
      </c>
    </row>
    <row r="254" spans="1:27" s="4" customFormat="1" ht="42" customHeight="1">
      <c r="A254" s="5">
        <v>0</v>
      </c>
      <c r="B254" s="6" t="s">
        <v>1527</v>
      </c>
      <c r="C254" s="7">
        <v>720</v>
      </c>
      <c r="D254" s="8" t="s">
        <v>1528</v>
      </c>
      <c r="E254" s="8" t="s">
        <v>1529</v>
      </c>
      <c r="F254" s="8" t="s">
        <v>1530</v>
      </c>
      <c r="G254" s="6" t="s">
        <v>51</v>
      </c>
      <c r="H254" s="6" t="s">
        <v>84</v>
      </c>
      <c r="I254" s="8" t="s">
        <v>251</v>
      </c>
      <c r="J254" s="9">
        <v>1</v>
      </c>
      <c r="K254" s="9">
        <v>158</v>
      </c>
      <c r="L254" s="9">
        <v>2023</v>
      </c>
      <c r="M254" s="8" t="s">
        <v>1531</v>
      </c>
      <c r="N254" s="8" t="s">
        <v>40</v>
      </c>
      <c r="O254" s="8" t="s">
        <v>41</v>
      </c>
      <c r="P254" s="6" t="s">
        <v>42</v>
      </c>
      <c r="Q254" s="8" t="s">
        <v>43</v>
      </c>
      <c r="R254" s="10" t="s">
        <v>310</v>
      </c>
      <c r="S254" s="11"/>
      <c r="T254" s="6"/>
      <c r="U254" s="28" t="str">
        <f>HYPERLINK("https://media.infra-m.ru/2038/2038289/cover/2038289.jpg", "Обложка")</f>
        <v>Обложка</v>
      </c>
      <c r="V254" s="28" t="str">
        <f>HYPERLINK("https://znanium.com/catalog/product/2038289", "Ознакомиться")</f>
        <v>Ознакомиться</v>
      </c>
      <c r="W254" s="8" t="s">
        <v>334</v>
      </c>
      <c r="X254" s="6"/>
      <c r="Y254" s="6"/>
      <c r="Z254" s="6"/>
      <c r="AA254" s="6" t="s">
        <v>79</v>
      </c>
    </row>
    <row r="255" spans="1:27" s="4" customFormat="1" ht="44.1" customHeight="1">
      <c r="A255" s="5">
        <v>0</v>
      </c>
      <c r="B255" s="6" t="s">
        <v>1532</v>
      </c>
      <c r="C255" s="7">
        <v>490</v>
      </c>
      <c r="D255" s="8" t="s">
        <v>1533</v>
      </c>
      <c r="E255" s="8" t="s">
        <v>1534</v>
      </c>
      <c r="F255" s="8" t="s">
        <v>1535</v>
      </c>
      <c r="G255" s="6" t="s">
        <v>51</v>
      </c>
      <c r="H255" s="6" t="s">
        <v>84</v>
      </c>
      <c r="I255" s="8" t="s">
        <v>85</v>
      </c>
      <c r="J255" s="9">
        <v>1</v>
      </c>
      <c r="K255" s="9">
        <v>96</v>
      </c>
      <c r="L255" s="9">
        <v>2023</v>
      </c>
      <c r="M255" s="8" t="s">
        <v>1536</v>
      </c>
      <c r="N255" s="8" t="s">
        <v>40</v>
      </c>
      <c r="O255" s="8" t="s">
        <v>41</v>
      </c>
      <c r="P255" s="6" t="s">
        <v>42</v>
      </c>
      <c r="Q255" s="8" t="s">
        <v>43</v>
      </c>
      <c r="R255" s="10" t="s">
        <v>1537</v>
      </c>
      <c r="S255" s="11"/>
      <c r="T255" s="6"/>
      <c r="U255" s="28" t="str">
        <f>HYPERLINK("https://media.infra-m.ru/1974/1974380/cover/1974380.jpg", "Обложка")</f>
        <v>Обложка</v>
      </c>
      <c r="V255" s="28" t="str">
        <f>HYPERLINK("https://znanium.com/catalog/product/1974380", "Ознакомиться")</f>
        <v>Ознакомиться</v>
      </c>
      <c r="W255" s="8" t="s">
        <v>45</v>
      </c>
      <c r="X255" s="6"/>
      <c r="Y255" s="6"/>
      <c r="Z255" s="6"/>
      <c r="AA255" s="6" t="s">
        <v>88</v>
      </c>
    </row>
    <row r="256" spans="1:27" s="4" customFormat="1" ht="42" customHeight="1">
      <c r="A256" s="5">
        <v>0</v>
      </c>
      <c r="B256" s="6" t="s">
        <v>1538</v>
      </c>
      <c r="C256" s="13">
        <v>1890</v>
      </c>
      <c r="D256" s="8" t="s">
        <v>1539</v>
      </c>
      <c r="E256" s="8" t="s">
        <v>1540</v>
      </c>
      <c r="F256" s="8" t="s">
        <v>593</v>
      </c>
      <c r="G256" s="6" t="s">
        <v>37</v>
      </c>
      <c r="H256" s="6" t="s">
        <v>38</v>
      </c>
      <c r="I256" s="8"/>
      <c r="J256" s="9">
        <v>1</v>
      </c>
      <c r="K256" s="9">
        <v>452</v>
      </c>
      <c r="L256" s="9">
        <v>2022</v>
      </c>
      <c r="M256" s="8" t="s">
        <v>1541</v>
      </c>
      <c r="N256" s="8" t="s">
        <v>40</v>
      </c>
      <c r="O256" s="8" t="s">
        <v>41</v>
      </c>
      <c r="P256" s="6" t="s">
        <v>42</v>
      </c>
      <c r="Q256" s="8" t="s">
        <v>43</v>
      </c>
      <c r="R256" s="10" t="s">
        <v>340</v>
      </c>
      <c r="S256" s="11"/>
      <c r="T256" s="6"/>
      <c r="U256" s="28" t="str">
        <f>HYPERLINK("https://media.infra-m.ru/1875/1875006/cover/1875006.jpg", "Обложка")</f>
        <v>Обложка</v>
      </c>
      <c r="V256" s="28" t="str">
        <f>HYPERLINK("https://znanium.com/catalog/product/1875006", "Ознакомиться")</f>
        <v>Ознакомиться</v>
      </c>
      <c r="W256" s="8" t="s">
        <v>114</v>
      </c>
      <c r="X256" s="6"/>
      <c r="Y256" s="6"/>
      <c r="Z256" s="6"/>
      <c r="AA256" s="6" t="s">
        <v>148</v>
      </c>
    </row>
    <row r="257" spans="1:27" s="4" customFormat="1" ht="42" customHeight="1">
      <c r="A257" s="5">
        <v>0</v>
      </c>
      <c r="B257" s="6" t="s">
        <v>1542</v>
      </c>
      <c r="C257" s="7">
        <v>164.9</v>
      </c>
      <c r="D257" s="8" t="s">
        <v>1543</v>
      </c>
      <c r="E257" s="8" t="s">
        <v>1544</v>
      </c>
      <c r="F257" s="8" t="s">
        <v>1392</v>
      </c>
      <c r="G257" s="6" t="s">
        <v>51</v>
      </c>
      <c r="H257" s="6" t="s">
        <v>84</v>
      </c>
      <c r="I257" s="8"/>
      <c r="J257" s="9">
        <v>1</v>
      </c>
      <c r="K257" s="9">
        <v>48</v>
      </c>
      <c r="L257" s="9">
        <v>2020</v>
      </c>
      <c r="M257" s="8" t="s">
        <v>1545</v>
      </c>
      <c r="N257" s="8" t="s">
        <v>40</v>
      </c>
      <c r="O257" s="8" t="s">
        <v>41</v>
      </c>
      <c r="P257" s="6" t="s">
        <v>42</v>
      </c>
      <c r="Q257" s="8" t="s">
        <v>43</v>
      </c>
      <c r="R257" s="10" t="s">
        <v>340</v>
      </c>
      <c r="S257" s="11"/>
      <c r="T257" s="6"/>
      <c r="U257" s="28" t="str">
        <f>HYPERLINK("https://media.infra-m.ru/1047/1047189/cover/1047189.jpg", "Обложка")</f>
        <v>Обложка</v>
      </c>
      <c r="V257" s="28" t="str">
        <f>HYPERLINK("https://znanium.com/catalog/product/1047189", "Ознакомиться")</f>
        <v>Ознакомиться</v>
      </c>
      <c r="W257" s="8" t="s">
        <v>45</v>
      </c>
      <c r="X257" s="6"/>
      <c r="Y257" s="6"/>
      <c r="Z257" s="6"/>
      <c r="AA257" s="6" t="s">
        <v>298</v>
      </c>
    </row>
    <row r="258" spans="1:27" s="4" customFormat="1" ht="42" customHeight="1">
      <c r="A258" s="5">
        <v>0</v>
      </c>
      <c r="B258" s="6" t="s">
        <v>1546</v>
      </c>
      <c r="C258" s="13">
        <v>1944.9</v>
      </c>
      <c r="D258" s="8" t="s">
        <v>1547</v>
      </c>
      <c r="E258" s="8" t="s">
        <v>1548</v>
      </c>
      <c r="F258" s="8" t="s">
        <v>1549</v>
      </c>
      <c r="G258" s="6" t="s">
        <v>51</v>
      </c>
      <c r="H258" s="6" t="s">
        <v>84</v>
      </c>
      <c r="I258" s="8" t="s">
        <v>85</v>
      </c>
      <c r="J258" s="9">
        <v>1</v>
      </c>
      <c r="K258" s="9">
        <v>880</v>
      </c>
      <c r="L258" s="9">
        <v>2020</v>
      </c>
      <c r="M258" s="8" t="s">
        <v>1550</v>
      </c>
      <c r="N258" s="8" t="s">
        <v>40</v>
      </c>
      <c r="O258" s="8" t="s">
        <v>41</v>
      </c>
      <c r="P258" s="6" t="s">
        <v>1551</v>
      </c>
      <c r="Q258" s="8" t="s">
        <v>43</v>
      </c>
      <c r="R258" s="10" t="s">
        <v>1339</v>
      </c>
      <c r="S258" s="11"/>
      <c r="T258" s="6"/>
      <c r="U258" s="28" t="str">
        <f>HYPERLINK("https://media.infra-m.ru/1088/1088005/cover/1088005.jpg", "Обложка")</f>
        <v>Обложка</v>
      </c>
      <c r="V258" s="28" t="str">
        <f>HYPERLINK("https://znanium.com/catalog/product/915116", "Ознакомиться")</f>
        <v>Ознакомиться</v>
      </c>
      <c r="W258" s="8" t="s">
        <v>45</v>
      </c>
      <c r="X258" s="6"/>
      <c r="Y258" s="6"/>
      <c r="Z258" s="6"/>
      <c r="AA258" s="6" t="s">
        <v>298</v>
      </c>
    </row>
    <row r="259" spans="1:27" s="4" customFormat="1" ht="44.1" customHeight="1">
      <c r="A259" s="5">
        <v>0</v>
      </c>
      <c r="B259" s="6" t="s">
        <v>1552</v>
      </c>
      <c r="C259" s="13">
        <v>1274.9000000000001</v>
      </c>
      <c r="D259" s="8" t="s">
        <v>1553</v>
      </c>
      <c r="E259" s="8" t="s">
        <v>1554</v>
      </c>
      <c r="F259" s="8" t="s">
        <v>935</v>
      </c>
      <c r="G259" s="6" t="s">
        <v>58</v>
      </c>
      <c r="H259" s="6" t="s">
        <v>38</v>
      </c>
      <c r="I259" s="8"/>
      <c r="J259" s="9">
        <v>1</v>
      </c>
      <c r="K259" s="9">
        <v>336</v>
      </c>
      <c r="L259" s="9">
        <v>2022</v>
      </c>
      <c r="M259" s="8" t="s">
        <v>1555</v>
      </c>
      <c r="N259" s="8" t="s">
        <v>40</v>
      </c>
      <c r="O259" s="8" t="s">
        <v>41</v>
      </c>
      <c r="P259" s="6" t="s">
        <v>42</v>
      </c>
      <c r="Q259" s="8" t="s">
        <v>43</v>
      </c>
      <c r="R259" s="10" t="s">
        <v>718</v>
      </c>
      <c r="S259" s="11"/>
      <c r="T259" s="6"/>
      <c r="U259" s="28" t="str">
        <f>HYPERLINK("https://media.infra-m.ru/1216/1216474/cover/1216474.jpg", "Обложка")</f>
        <v>Обложка</v>
      </c>
      <c r="V259" s="28" t="str">
        <f>HYPERLINK("https://znanium.com/catalog/product/1216474", "Ознакомиться")</f>
        <v>Ознакомиться</v>
      </c>
      <c r="W259" s="8" t="s">
        <v>78</v>
      </c>
      <c r="X259" s="6"/>
      <c r="Y259" s="6"/>
      <c r="Z259" s="6"/>
      <c r="AA259" s="6" t="s">
        <v>706</v>
      </c>
    </row>
    <row r="260" spans="1:27" s="4" customFormat="1" ht="51.95" customHeight="1">
      <c r="A260" s="5">
        <v>0</v>
      </c>
      <c r="B260" s="6" t="s">
        <v>1556</v>
      </c>
      <c r="C260" s="7">
        <v>600</v>
      </c>
      <c r="D260" s="8" t="s">
        <v>1557</v>
      </c>
      <c r="E260" s="8" t="s">
        <v>1558</v>
      </c>
      <c r="F260" s="8" t="s">
        <v>1559</v>
      </c>
      <c r="G260" s="6" t="s">
        <v>37</v>
      </c>
      <c r="H260" s="6" t="s">
        <v>38</v>
      </c>
      <c r="I260" s="8"/>
      <c r="J260" s="9">
        <v>1</v>
      </c>
      <c r="K260" s="9">
        <v>127</v>
      </c>
      <c r="L260" s="9">
        <v>2023</v>
      </c>
      <c r="M260" s="8" t="s">
        <v>1560</v>
      </c>
      <c r="N260" s="8" t="s">
        <v>40</v>
      </c>
      <c r="O260" s="8" t="s">
        <v>41</v>
      </c>
      <c r="P260" s="6" t="s">
        <v>75</v>
      </c>
      <c r="Q260" s="8" t="s">
        <v>76</v>
      </c>
      <c r="R260" s="10" t="s">
        <v>122</v>
      </c>
      <c r="S260" s="11"/>
      <c r="T260" s="6"/>
      <c r="U260" s="28" t="str">
        <f>HYPERLINK("https://media.infra-m.ru/1895/1895638/cover/1895638.jpg", "Обложка")</f>
        <v>Обложка</v>
      </c>
      <c r="V260" s="28" t="str">
        <f>HYPERLINK("https://znanium.com/catalog/product/1895638", "Ознакомиться")</f>
        <v>Ознакомиться</v>
      </c>
      <c r="W260" s="8" t="s">
        <v>1561</v>
      </c>
      <c r="X260" s="6"/>
      <c r="Y260" s="6"/>
      <c r="Z260" s="6"/>
      <c r="AA260" s="6" t="s">
        <v>79</v>
      </c>
    </row>
    <row r="261" spans="1:27" s="4" customFormat="1" ht="44.1" customHeight="1">
      <c r="A261" s="5">
        <v>0</v>
      </c>
      <c r="B261" s="6" t="s">
        <v>1562</v>
      </c>
      <c r="C261" s="7">
        <v>970</v>
      </c>
      <c r="D261" s="8" t="s">
        <v>1563</v>
      </c>
      <c r="E261" s="8" t="s">
        <v>1564</v>
      </c>
      <c r="F261" s="8" t="s">
        <v>1565</v>
      </c>
      <c r="G261" s="6" t="s">
        <v>51</v>
      </c>
      <c r="H261" s="6" t="s">
        <v>84</v>
      </c>
      <c r="I261" s="8" t="s">
        <v>251</v>
      </c>
      <c r="J261" s="9">
        <v>1</v>
      </c>
      <c r="K261" s="9">
        <v>216</v>
      </c>
      <c r="L261" s="9">
        <v>2023</v>
      </c>
      <c r="M261" s="8" t="s">
        <v>1566</v>
      </c>
      <c r="N261" s="8" t="s">
        <v>40</v>
      </c>
      <c r="O261" s="8" t="s">
        <v>41</v>
      </c>
      <c r="P261" s="6" t="s">
        <v>42</v>
      </c>
      <c r="Q261" s="8" t="s">
        <v>43</v>
      </c>
      <c r="R261" s="10" t="s">
        <v>1567</v>
      </c>
      <c r="S261" s="11"/>
      <c r="T261" s="6"/>
      <c r="U261" s="28" t="str">
        <f>HYPERLINK("https://media.infra-m.ru/2029/2029787/cover/2029787.jpg", "Обложка")</f>
        <v>Обложка</v>
      </c>
      <c r="V261" s="28" t="str">
        <f>HYPERLINK("https://znanium.com/catalog/product/2029787", "Ознакомиться")</f>
        <v>Ознакомиться</v>
      </c>
      <c r="W261" s="8" t="s">
        <v>1568</v>
      </c>
      <c r="X261" s="6"/>
      <c r="Y261" s="6"/>
      <c r="Z261" s="6"/>
      <c r="AA261" s="6" t="s">
        <v>115</v>
      </c>
    </row>
    <row r="262" spans="1:27" s="4" customFormat="1" ht="51.95" customHeight="1">
      <c r="A262" s="5">
        <v>0</v>
      </c>
      <c r="B262" s="6" t="s">
        <v>1569</v>
      </c>
      <c r="C262" s="13">
        <v>1300</v>
      </c>
      <c r="D262" s="8" t="s">
        <v>1570</v>
      </c>
      <c r="E262" s="8" t="s">
        <v>1571</v>
      </c>
      <c r="F262" s="8" t="s">
        <v>1572</v>
      </c>
      <c r="G262" s="6" t="s">
        <v>58</v>
      </c>
      <c r="H262" s="6" t="s">
        <v>38</v>
      </c>
      <c r="I262" s="8"/>
      <c r="J262" s="9">
        <v>1</v>
      </c>
      <c r="K262" s="9">
        <v>280</v>
      </c>
      <c r="L262" s="9">
        <v>2024</v>
      </c>
      <c r="M262" s="8" t="s">
        <v>1573</v>
      </c>
      <c r="N262" s="8" t="s">
        <v>40</v>
      </c>
      <c r="O262" s="8" t="s">
        <v>41</v>
      </c>
      <c r="P262" s="6" t="s">
        <v>295</v>
      </c>
      <c r="Q262" s="8" t="s">
        <v>43</v>
      </c>
      <c r="R262" s="10" t="s">
        <v>77</v>
      </c>
      <c r="S262" s="11"/>
      <c r="T262" s="6"/>
      <c r="U262" s="28" t="str">
        <f>HYPERLINK("https://media.infra-m.ru/2090/2090021/cover/2090021.jpg", "Обложка")</f>
        <v>Обложка</v>
      </c>
      <c r="V262" s="28" t="str">
        <f>HYPERLINK("https://znanium.com/catalog/product/2090021", "Ознакомиться")</f>
        <v>Ознакомиться</v>
      </c>
      <c r="W262" s="8" t="s">
        <v>45</v>
      </c>
      <c r="X262" s="6" t="s">
        <v>1446</v>
      </c>
      <c r="Y262" s="6"/>
      <c r="Z262" s="6"/>
      <c r="AA262" s="6" t="s">
        <v>100</v>
      </c>
    </row>
    <row r="263" spans="1:27" s="4" customFormat="1" ht="42" customHeight="1">
      <c r="A263" s="5">
        <v>0</v>
      </c>
      <c r="B263" s="6" t="s">
        <v>1574</v>
      </c>
      <c r="C263" s="7">
        <v>990</v>
      </c>
      <c r="D263" s="8" t="s">
        <v>1575</v>
      </c>
      <c r="E263" s="8" t="s">
        <v>1576</v>
      </c>
      <c r="F263" s="8" t="s">
        <v>1577</v>
      </c>
      <c r="G263" s="6" t="s">
        <v>51</v>
      </c>
      <c r="H263" s="6" t="s">
        <v>84</v>
      </c>
      <c r="I263" s="8" t="s">
        <v>85</v>
      </c>
      <c r="J263" s="9">
        <v>1</v>
      </c>
      <c r="K263" s="9">
        <v>263</v>
      </c>
      <c r="L263" s="9">
        <v>2022</v>
      </c>
      <c r="M263" s="8" t="s">
        <v>1578</v>
      </c>
      <c r="N263" s="8" t="s">
        <v>40</v>
      </c>
      <c r="O263" s="8" t="s">
        <v>41</v>
      </c>
      <c r="P263" s="6" t="s">
        <v>811</v>
      </c>
      <c r="Q263" s="8" t="s">
        <v>43</v>
      </c>
      <c r="R263" s="10" t="s">
        <v>1579</v>
      </c>
      <c r="S263" s="11"/>
      <c r="T263" s="6"/>
      <c r="U263" s="28" t="str">
        <f>HYPERLINK("https://media.infra-m.ru/1850/1850782/cover/1850782.jpg", "Обложка")</f>
        <v>Обложка</v>
      </c>
      <c r="V263" s="28" t="str">
        <f>HYPERLINK("https://znanium.com/catalog/product/1850782", "Ознакомиться")</f>
        <v>Ознакомиться</v>
      </c>
      <c r="W263" s="8" t="s">
        <v>45</v>
      </c>
      <c r="X263" s="6"/>
      <c r="Y263" s="6"/>
      <c r="Z263" s="6"/>
      <c r="AA263" s="6" t="s">
        <v>422</v>
      </c>
    </row>
    <row r="264" spans="1:27" s="4" customFormat="1" ht="51.95" customHeight="1">
      <c r="A264" s="5">
        <v>0</v>
      </c>
      <c r="B264" s="6" t="s">
        <v>1580</v>
      </c>
      <c r="C264" s="7">
        <v>784.9</v>
      </c>
      <c r="D264" s="8" t="s">
        <v>1581</v>
      </c>
      <c r="E264" s="8" t="s">
        <v>1582</v>
      </c>
      <c r="F264" s="8" t="s">
        <v>598</v>
      </c>
      <c r="G264" s="6" t="s">
        <v>51</v>
      </c>
      <c r="H264" s="6" t="s">
        <v>84</v>
      </c>
      <c r="I264" s="8" t="s">
        <v>85</v>
      </c>
      <c r="J264" s="9">
        <v>30</v>
      </c>
      <c r="K264" s="9">
        <v>290</v>
      </c>
      <c r="L264" s="9">
        <v>2018</v>
      </c>
      <c r="M264" s="8" t="s">
        <v>1583</v>
      </c>
      <c r="N264" s="8" t="s">
        <v>40</v>
      </c>
      <c r="O264" s="8" t="s">
        <v>41</v>
      </c>
      <c r="P264" s="6" t="s">
        <v>811</v>
      </c>
      <c r="Q264" s="8" t="s">
        <v>43</v>
      </c>
      <c r="R264" s="10" t="s">
        <v>1584</v>
      </c>
      <c r="S264" s="11"/>
      <c r="T264" s="6"/>
      <c r="U264" s="28" t="str">
        <f>HYPERLINK("https://media.infra-m.ru/0925/0925874/cover/925874.jpg", "Обложка")</f>
        <v>Обложка</v>
      </c>
      <c r="V264" s="28" t="str">
        <f>HYPERLINK("https://znanium.com/catalog/product/925874", "Ознакомиться")</f>
        <v>Ознакомиться</v>
      </c>
      <c r="W264" s="8" t="s">
        <v>45</v>
      </c>
      <c r="X264" s="6"/>
      <c r="Y264" s="6"/>
      <c r="Z264" s="6"/>
      <c r="AA264" s="6" t="s">
        <v>88</v>
      </c>
    </row>
    <row r="265" spans="1:27" s="4" customFormat="1" ht="42" customHeight="1">
      <c r="A265" s="5">
        <v>0</v>
      </c>
      <c r="B265" s="6" t="s">
        <v>1585</v>
      </c>
      <c r="C265" s="13">
        <v>1224</v>
      </c>
      <c r="D265" s="8" t="s">
        <v>1586</v>
      </c>
      <c r="E265" s="8" t="s">
        <v>1587</v>
      </c>
      <c r="F265" s="8" t="s">
        <v>1588</v>
      </c>
      <c r="G265" s="6" t="s">
        <v>58</v>
      </c>
      <c r="H265" s="6" t="s">
        <v>38</v>
      </c>
      <c r="I265" s="8"/>
      <c r="J265" s="9">
        <v>1</v>
      </c>
      <c r="K265" s="9">
        <v>272</v>
      </c>
      <c r="L265" s="9">
        <v>2023</v>
      </c>
      <c r="M265" s="8" t="s">
        <v>1589</v>
      </c>
      <c r="N265" s="8" t="s">
        <v>40</v>
      </c>
      <c r="O265" s="8" t="s">
        <v>41</v>
      </c>
      <c r="P265" s="6" t="s">
        <v>42</v>
      </c>
      <c r="Q265" s="8" t="s">
        <v>43</v>
      </c>
      <c r="R265" s="10" t="s">
        <v>340</v>
      </c>
      <c r="S265" s="11"/>
      <c r="T265" s="6"/>
      <c r="U265" s="28" t="str">
        <f>HYPERLINK("https://media.infra-m.ru/1876/1876636/cover/1876636.jpg", "Обложка")</f>
        <v>Обложка</v>
      </c>
      <c r="V265" s="28" t="str">
        <f>HYPERLINK("https://znanium.com/catalog/product/1082761", "Ознакомиться")</f>
        <v>Ознакомиться</v>
      </c>
      <c r="W265" s="8" t="s">
        <v>1356</v>
      </c>
      <c r="X265" s="6"/>
      <c r="Y265" s="6"/>
      <c r="Z265" s="6"/>
      <c r="AA265" s="6" t="s">
        <v>88</v>
      </c>
    </row>
    <row r="266" spans="1:27" s="4" customFormat="1" ht="42" customHeight="1">
      <c r="A266" s="5">
        <v>0</v>
      </c>
      <c r="B266" s="6" t="s">
        <v>1590</v>
      </c>
      <c r="C266" s="7">
        <v>544.9</v>
      </c>
      <c r="D266" s="8" t="s">
        <v>1591</v>
      </c>
      <c r="E266" s="8" t="s">
        <v>1592</v>
      </c>
      <c r="F266" s="8" t="s">
        <v>419</v>
      </c>
      <c r="G266" s="6" t="s">
        <v>51</v>
      </c>
      <c r="H266" s="6" t="s">
        <v>84</v>
      </c>
      <c r="I266" s="8" t="s">
        <v>251</v>
      </c>
      <c r="J266" s="9">
        <v>1</v>
      </c>
      <c r="K266" s="9">
        <v>122</v>
      </c>
      <c r="L266" s="9">
        <v>2023</v>
      </c>
      <c r="M266" s="8" t="s">
        <v>1593</v>
      </c>
      <c r="N266" s="8" t="s">
        <v>40</v>
      </c>
      <c r="O266" s="8" t="s">
        <v>41</v>
      </c>
      <c r="P266" s="6" t="s">
        <v>42</v>
      </c>
      <c r="Q266" s="8" t="s">
        <v>43</v>
      </c>
      <c r="R266" s="10" t="s">
        <v>310</v>
      </c>
      <c r="S266" s="11"/>
      <c r="T266" s="6"/>
      <c r="U266" s="28" t="str">
        <f>HYPERLINK("https://media.infra-m.ru/2001/2001636/cover/2001636.jpg", "Обложка")</f>
        <v>Обложка</v>
      </c>
      <c r="V266" s="28" t="str">
        <f>HYPERLINK("https://znanium.com/catalog/product/1087990", "Ознакомиться")</f>
        <v>Ознакомиться</v>
      </c>
      <c r="W266" s="8" t="s">
        <v>421</v>
      </c>
      <c r="X266" s="6"/>
      <c r="Y266" s="6"/>
      <c r="Z266" s="6"/>
      <c r="AA266" s="6" t="s">
        <v>88</v>
      </c>
    </row>
    <row r="267" spans="1:27" s="4" customFormat="1" ht="42" customHeight="1">
      <c r="A267" s="5">
        <v>0</v>
      </c>
      <c r="B267" s="6" t="s">
        <v>1594</v>
      </c>
      <c r="C267" s="7">
        <v>960</v>
      </c>
      <c r="D267" s="8" t="s">
        <v>1595</v>
      </c>
      <c r="E267" s="8" t="s">
        <v>1596</v>
      </c>
      <c r="F267" s="8" t="s">
        <v>1597</v>
      </c>
      <c r="G267" s="6" t="s">
        <v>51</v>
      </c>
      <c r="H267" s="6" t="s">
        <v>84</v>
      </c>
      <c r="I267" s="8" t="s">
        <v>251</v>
      </c>
      <c r="J267" s="9">
        <v>1</v>
      </c>
      <c r="K267" s="9">
        <v>205</v>
      </c>
      <c r="L267" s="9">
        <v>2023</v>
      </c>
      <c r="M267" s="8" t="s">
        <v>1598</v>
      </c>
      <c r="N267" s="8" t="s">
        <v>40</v>
      </c>
      <c r="O267" s="8" t="s">
        <v>41</v>
      </c>
      <c r="P267" s="6" t="s">
        <v>42</v>
      </c>
      <c r="Q267" s="8" t="s">
        <v>43</v>
      </c>
      <c r="R267" s="10" t="s">
        <v>97</v>
      </c>
      <c r="S267" s="11"/>
      <c r="T267" s="6"/>
      <c r="U267" s="28" t="str">
        <f>HYPERLINK("https://media.infra-m.ru/2032/2032512/cover/2032512.jpg", "Обложка")</f>
        <v>Обложка</v>
      </c>
      <c r="V267" s="28" t="str">
        <f>HYPERLINK("https://znanium.com/catalog/product/2032512", "Ознакомиться")</f>
        <v>Ознакомиться</v>
      </c>
      <c r="W267" s="8" t="s">
        <v>1599</v>
      </c>
      <c r="X267" s="6" t="s">
        <v>1600</v>
      </c>
      <c r="Y267" s="6"/>
      <c r="Z267" s="6"/>
      <c r="AA267" s="6" t="s">
        <v>408</v>
      </c>
    </row>
    <row r="268" spans="1:27" s="4" customFormat="1" ht="42" customHeight="1">
      <c r="A268" s="5">
        <v>0</v>
      </c>
      <c r="B268" s="6" t="s">
        <v>1601</v>
      </c>
      <c r="C268" s="13">
        <v>1744</v>
      </c>
      <c r="D268" s="8" t="s">
        <v>1602</v>
      </c>
      <c r="E268" s="8" t="s">
        <v>1603</v>
      </c>
      <c r="F268" s="8" t="s">
        <v>1604</v>
      </c>
      <c r="G268" s="6" t="s">
        <v>58</v>
      </c>
      <c r="H268" s="6" t="s">
        <v>52</v>
      </c>
      <c r="I268" s="8" t="s">
        <v>1605</v>
      </c>
      <c r="J268" s="9">
        <v>1</v>
      </c>
      <c r="K268" s="9">
        <v>377</v>
      </c>
      <c r="L268" s="9">
        <v>2024</v>
      </c>
      <c r="M268" s="8" t="s">
        <v>1606</v>
      </c>
      <c r="N268" s="8" t="s">
        <v>40</v>
      </c>
      <c r="O268" s="8" t="s">
        <v>41</v>
      </c>
      <c r="P268" s="6" t="s">
        <v>42</v>
      </c>
      <c r="Q268" s="8" t="s">
        <v>43</v>
      </c>
      <c r="R268" s="10" t="s">
        <v>340</v>
      </c>
      <c r="S268" s="11"/>
      <c r="T268" s="6"/>
      <c r="U268" s="28" t="str">
        <f>HYPERLINK("https://media.infra-m.ru/1895/1895633/cover/1895633.jpg", "Обложка")</f>
        <v>Обложка</v>
      </c>
      <c r="V268" s="28" t="str">
        <f>HYPERLINK("https://znanium.com/catalog/product/1039319", "Ознакомиться")</f>
        <v>Ознакомиться</v>
      </c>
      <c r="W268" s="8" t="s">
        <v>78</v>
      </c>
      <c r="X268" s="6"/>
      <c r="Y268" s="6"/>
      <c r="Z268" s="6"/>
      <c r="AA268" s="6" t="s">
        <v>46</v>
      </c>
    </row>
    <row r="269" spans="1:27" s="4" customFormat="1" ht="51.95" customHeight="1">
      <c r="A269" s="5">
        <v>0</v>
      </c>
      <c r="B269" s="6" t="s">
        <v>1607</v>
      </c>
      <c r="C269" s="7">
        <v>750</v>
      </c>
      <c r="D269" s="8" t="s">
        <v>1608</v>
      </c>
      <c r="E269" s="8" t="s">
        <v>1609</v>
      </c>
      <c r="F269" s="8" t="s">
        <v>1610</v>
      </c>
      <c r="G269" s="6" t="s">
        <v>51</v>
      </c>
      <c r="H269" s="6" t="s">
        <v>84</v>
      </c>
      <c r="I269" s="8" t="s">
        <v>251</v>
      </c>
      <c r="J269" s="9">
        <v>1</v>
      </c>
      <c r="K269" s="9">
        <v>178</v>
      </c>
      <c r="L269" s="9">
        <v>2022</v>
      </c>
      <c r="M269" s="8" t="s">
        <v>1611</v>
      </c>
      <c r="N269" s="8" t="s">
        <v>40</v>
      </c>
      <c r="O269" s="8" t="s">
        <v>41</v>
      </c>
      <c r="P269" s="6" t="s">
        <v>42</v>
      </c>
      <c r="Q269" s="8" t="s">
        <v>43</v>
      </c>
      <c r="R269" s="10" t="s">
        <v>1612</v>
      </c>
      <c r="S269" s="11"/>
      <c r="T269" s="6"/>
      <c r="U269" s="28" t="str">
        <f>HYPERLINK("https://media.infra-m.ru/1878/1878665/cover/1878665.jpg", "Обложка")</f>
        <v>Обложка</v>
      </c>
      <c r="V269" s="28" t="str">
        <f>HYPERLINK("https://znanium.com/catalog/product/1484524", "Ознакомиться")</f>
        <v>Ознакомиться</v>
      </c>
      <c r="W269" s="8" t="s">
        <v>1613</v>
      </c>
      <c r="X269" s="6"/>
      <c r="Y269" s="6"/>
      <c r="Z269" s="6"/>
      <c r="AA269" s="6" t="s">
        <v>343</v>
      </c>
    </row>
    <row r="270" spans="1:27" s="4" customFormat="1" ht="51.95" customHeight="1">
      <c r="A270" s="5">
        <v>0</v>
      </c>
      <c r="B270" s="6" t="s">
        <v>1614</v>
      </c>
      <c r="C270" s="13">
        <v>1354.9</v>
      </c>
      <c r="D270" s="8" t="s">
        <v>1615</v>
      </c>
      <c r="E270" s="8" t="s">
        <v>1616</v>
      </c>
      <c r="F270" s="8" t="s">
        <v>1617</v>
      </c>
      <c r="G270" s="6" t="s">
        <v>37</v>
      </c>
      <c r="H270" s="6" t="s">
        <v>84</v>
      </c>
      <c r="I270" s="8" t="s">
        <v>185</v>
      </c>
      <c r="J270" s="9">
        <v>1</v>
      </c>
      <c r="K270" s="9">
        <v>300</v>
      </c>
      <c r="L270" s="9">
        <v>2023</v>
      </c>
      <c r="M270" s="8" t="s">
        <v>1618</v>
      </c>
      <c r="N270" s="8" t="s">
        <v>40</v>
      </c>
      <c r="O270" s="8" t="s">
        <v>41</v>
      </c>
      <c r="P270" s="6" t="s">
        <v>75</v>
      </c>
      <c r="Q270" s="8" t="s">
        <v>76</v>
      </c>
      <c r="R270" s="10" t="s">
        <v>1619</v>
      </c>
      <c r="S270" s="11"/>
      <c r="T270" s="6"/>
      <c r="U270" s="28" t="str">
        <f>HYPERLINK("https://media.infra-m.ru/1908/1908816/cover/1908816.jpg", "Обложка")</f>
        <v>Обложка</v>
      </c>
      <c r="V270" s="28" t="str">
        <f>HYPERLINK("https://znanium.com/catalog/product/1818705", "Ознакомиться")</f>
        <v>Ознакомиться</v>
      </c>
      <c r="W270" s="8" t="s">
        <v>107</v>
      </c>
      <c r="X270" s="6"/>
      <c r="Y270" s="6"/>
      <c r="Z270" s="6"/>
      <c r="AA270" s="6" t="s">
        <v>79</v>
      </c>
    </row>
    <row r="271" spans="1:27" s="4" customFormat="1" ht="51.95" customHeight="1">
      <c r="A271" s="5">
        <v>0</v>
      </c>
      <c r="B271" s="6" t="s">
        <v>1620</v>
      </c>
      <c r="C271" s="7">
        <v>674.9</v>
      </c>
      <c r="D271" s="8" t="s">
        <v>1621</v>
      </c>
      <c r="E271" s="8" t="s">
        <v>1622</v>
      </c>
      <c r="F271" s="8" t="s">
        <v>1623</v>
      </c>
      <c r="G271" s="6" t="s">
        <v>51</v>
      </c>
      <c r="H271" s="6" t="s">
        <v>38</v>
      </c>
      <c r="I271" s="8"/>
      <c r="J271" s="9">
        <v>1</v>
      </c>
      <c r="K271" s="9">
        <v>192</v>
      </c>
      <c r="L271" s="9">
        <v>2020</v>
      </c>
      <c r="M271" s="8" t="s">
        <v>1624</v>
      </c>
      <c r="N271" s="8" t="s">
        <v>40</v>
      </c>
      <c r="O271" s="8" t="s">
        <v>41</v>
      </c>
      <c r="P271" s="6" t="s">
        <v>42</v>
      </c>
      <c r="Q271" s="8" t="s">
        <v>43</v>
      </c>
      <c r="R271" s="10" t="s">
        <v>1625</v>
      </c>
      <c r="S271" s="11"/>
      <c r="T271" s="6"/>
      <c r="U271" s="28" t="str">
        <f>HYPERLINK("https://media.infra-m.ru/1085/1085285/cover/1085285.jpg", "Обложка")</f>
        <v>Обложка</v>
      </c>
      <c r="V271" s="28" t="str">
        <f>HYPERLINK("https://znanium.com/catalog/product/959908", "Ознакомиться")</f>
        <v>Ознакомиться</v>
      </c>
      <c r="W271" s="8" t="s">
        <v>114</v>
      </c>
      <c r="X271" s="6"/>
      <c r="Y271" s="6"/>
      <c r="Z271" s="6"/>
      <c r="AA271" s="6" t="s">
        <v>88</v>
      </c>
    </row>
    <row r="272" spans="1:27" s="4" customFormat="1" ht="44.1" customHeight="1">
      <c r="A272" s="5">
        <v>0</v>
      </c>
      <c r="B272" s="6" t="s">
        <v>1626</v>
      </c>
      <c r="C272" s="7">
        <v>790</v>
      </c>
      <c r="D272" s="8" t="s">
        <v>1627</v>
      </c>
      <c r="E272" s="8" t="s">
        <v>1628</v>
      </c>
      <c r="F272" s="8" t="s">
        <v>1629</v>
      </c>
      <c r="G272" s="6" t="s">
        <v>51</v>
      </c>
      <c r="H272" s="6" t="s">
        <v>84</v>
      </c>
      <c r="I272" s="8" t="s">
        <v>251</v>
      </c>
      <c r="J272" s="9">
        <v>1</v>
      </c>
      <c r="K272" s="9">
        <v>216</v>
      </c>
      <c r="L272" s="9">
        <v>2020</v>
      </c>
      <c r="M272" s="8" t="s">
        <v>1630</v>
      </c>
      <c r="N272" s="8" t="s">
        <v>40</v>
      </c>
      <c r="O272" s="8" t="s">
        <v>41</v>
      </c>
      <c r="P272" s="6" t="s">
        <v>42</v>
      </c>
      <c r="Q272" s="8" t="s">
        <v>43</v>
      </c>
      <c r="R272" s="10" t="s">
        <v>304</v>
      </c>
      <c r="S272" s="11"/>
      <c r="T272" s="6"/>
      <c r="U272" s="28" t="str">
        <f>HYPERLINK("https://media.infra-m.ru/1124/1124985/cover/1124985.jpg", "Обложка")</f>
        <v>Обложка</v>
      </c>
      <c r="V272" s="28" t="str">
        <f>HYPERLINK("https://znanium.com/catalog/product/1039436", "Ознакомиться")</f>
        <v>Ознакомиться</v>
      </c>
      <c r="W272" s="8" t="s">
        <v>114</v>
      </c>
      <c r="X272" s="6"/>
      <c r="Y272" s="6"/>
      <c r="Z272" s="6"/>
      <c r="AA272" s="6" t="s">
        <v>115</v>
      </c>
    </row>
    <row r="273" spans="1:27" s="4" customFormat="1" ht="51.95" customHeight="1">
      <c r="A273" s="5">
        <v>0</v>
      </c>
      <c r="B273" s="6" t="s">
        <v>1631</v>
      </c>
      <c r="C273" s="7">
        <v>514.9</v>
      </c>
      <c r="D273" s="8" t="s">
        <v>1632</v>
      </c>
      <c r="E273" s="8" t="s">
        <v>1633</v>
      </c>
      <c r="F273" s="8" t="s">
        <v>1634</v>
      </c>
      <c r="G273" s="6" t="s">
        <v>51</v>
      </c>
      <c r="H273" s="6" t="s">
        <v>38</v>
      </c>
      <c r="I273" s="8"/>
      <c r="J273" s="9">
        <v>1</v>
      </c>
      <c r="K273" s="9">
        <v>128</v>
      </c>
      <c r="L273" s="9">
        <v>2020</v>
      </c>
      <c r="M273" s="8" t="s">
        <v>1635</v>
      </c>
      <c r="N273" s="8" t="s">
        <v>40</v>
      </c>
      <c r="O273" s="8" t="s">
        <v>41</v>
      </c>
      <c r="P273" s="6" t="s">
        <v>42</v>
      </c>
      <c r="Q273" s="8" t="s">
        <v>43</v>
      </c>
      <c r="R273" s="10" t="s">
        <v>1318</v>
      </c>
      <c r="S273" s="11"/>
      <c r="T273" s="6"/>
      <c r="U273" s="28" t="str">
        <f>HYPERLINK("https://media.infra-m.ru/1058/1058761/cover/1058761.jpg", "Обложка")</f>
        <v>Обложка</v>
      </c>
      <c r="V273" s="28" t="str">
        <f>HYPERLINK("https://znanium.com/catalog/product/1058761", "Ознакомиться")</f>
        <v>Ознакомиться</v>
      </c>
      <c r="W273" s="8" t="s">
        <v>45</v>
      </c>
      <c r="X273" s="6"/>
      <c r="Y273" s="6"/>
      <c r="Z273" s="6"/>
      <c r="AA273" s="6" t="s">
        <v>148</v>
      </c>
    </row>
    <row r="274" spans="1:27" s="4" customFormat="1" ht="42" customHeight="1">
      <c r="A274" s="5">
        <v>0</v>
      </c>
      <c r="B274" s="6" t="s">
        <v>1636</v>
      </c>
      <c r="C274" s="13">
        <v>2294.9</v>
      </c>
      <c r="D274" s="8" t="s">
        <v>1637</v>
      </c>
      <c r="E274" s="8" t="s">
        <v>1638</v>
      </c>
      <c r="F274" s="8" t="s">
        <v>1639</v>
      </c>
      <c r="G274" s="6" t="s">
        <v>37</v>
      </c>
      <c r="H274" s="6" t="s">
        <v>38</v>
      </c>
      <c r="I274" s="8"/>
      <c r="J274" s="9">
        <v>1</v>
      </c>
      <c r="K274" s="9">
        <v>608</v>
      </c>
      <c r="L274" s="9">
        <v>2023</v>
      </c>
      <c r="M274" s="8" t="s">
        <v>1640</v>
      </c>
      <c r="N274" s="8" t="s">
        <v>40</v>
      </c>
      <c r="O274" s="8" t="s">
        <v>41</v>
      </c>
      <c r="P274" s="6" t="s">
        <v>42</v>
      </c>
      <c r="Q274" s="8" t="s">
        <v>43</v>
      </c>
      <c r="R274" s="10" t="s">
        <v>1641</v>
      </c>
      <c r="S274" s="11"/>
      <c r="T274" s="6"/>
      <c r="U274" s="28" t="str">
        <f>HYPERLINK("https://media.infra-m.ru/1895/1895627/cover/1895627.jpg", "Обложка")</f>
        <v>Обложка</v>
      </c>
      <c r="V274" s="28" t="str">
        <f>HYPERLINK("https://znanium.com/catalog/product/1895627", "Ознакомиться")</f>
        <v>Ознакомиться</v>
      </c>
      <c r="W274" s="8" t="s">
        <v>1642</v>
      </c>
      <c r="X274" s="6"/>
      <c r="Y274" s="6"/>
      <c r="Z274" s="6"/>
      <c r="AA274" s="6" t="s">
        <v>148</v>
      </c>
    </row>
    <row r="275" spans="1:27" s="4" customFormat="1" ht="51.95" customHeight="1">
      <c r="A275" s="5">
        <v>0</v>
      </c>
      <c r="B275" s="6" t="s">
        <v>1643</v>
      </c>
      <c r="C275" s="7">
        <v>804.9</v>
      </c>
      <c r="D275" s="8" t="s">
        <v>1644</v>
      </c>
      <c r="E275" s="8" t="s">
        <v>1645</v>
      </c>
      <c r="F275" s="8" t="s">
        <v>1646</v>
      </c>
      <c r="G275" s="6" t="s">
        <v>58</v>
      </c>
      <c r="H275" s="6" t="s">
        <v>84</v>
      </c>
      <c r="I275" s="8" t="s">
        <v>1647</v>
      </c>
      <c r="J275" s="9">
        <v>1</v>
      </c>
      <c r="K275" s="9">
        <v>178</v>
      </c>
      <c r="L275" s="9">
        <v>2023</v>
      </c>
      <c r="M275" s="8" t="s">
        <v>1648</v>
      </c>
      <c r="N275" s="8" t="s">
        <v>40</v>
      </c>
      <c r="O275" s="8" t="s">
        <v>41</v>
      </c>
      <c r="P275" s="6" t="s">
        <v>811</v>
      </c>
      <c r="Q275" s="8" t="s">
        <v>680</v>
      </c>
      <c r="R275" s="10" t="s">
        <v>1649</v>
      </c>
      <c r="S275" s="11"/>
      <c r="T275" s="6" t="s">
        <v>368</v>
      </c>
      <c r="U275" s="28" t="str">
        <f>HYPERLINK("https://media.infra-m.ru/1910/1910536/cover/1910536.jpg", "Обложка")</f>
        <v>Обложка</v>
      </c>
      <c r="V275" s="28" t="str">
        <f>HYPERLINK("https://znanium.com/catalog/product/1855487", "Ознакомиться")</f>
        <v>Ознакомиться</v>
      </c>
      <c r="W275" s="8" t="s">
        <v>1650</v>
      </c>
      <c r="X275" s="6"/>
      <c r="Y275" s="6"/>
      <c r="Z275" s="6"/>
      <c r="AA275" s="6" t="s">
        <v>46</v>
      </c>
    </row>
    <row r="276" spans="1:27" s="4" customFormat="1" ht="51.95" customHeight="1">
      <c r="A276" s="5">
        <v>0</v>
      </c>
      <c r="B276" s="6" t="s">
        <v>1651</v>
      </c>
      <c r="C276" s="7">
        <v>654</v>
      </c>
      <c r="D276" s="8" t="s">
        <v>1652</v>
      </c>
      <c r="E276" s="8" t="s">
        <v>1653</v>
      </c>
      <c r="F276" s="8" t="s">
        <v>1654</v>
      </c>
      <c r="G276" s="6" t="s">
        <v>51</v>
      </c>
      <c r="H276" s="6" t="s">
        <v>38</v>
      </c>
      <c r="I276" s="8"/>
      <c r="J276" s="9">
        <v>1</v>
      </c>
      <c r="K276" s="9">
        <v>144</v>
      </c>
      <c r="L276" s="9">
        <v>2023</v>
      </c>
      <c r="M276" s="8" t="s">
        <v>1655</v>
      </c>
      <c r="N276" s="8" t="s">
        <v>40</v>
      </c>
      <c r="O276" s="8" t="s">
        <v>41</v>
      </c>
      <c r="P276" s="6" t="s">
        <v>42</v>
      </c>
      <c r="Q276" s="8" t="s">
        <v>43</v>
      </c>
      <c r="R276" s="10" t="s">
        <v>442</v>
      </c>
      <c r="S276" s="11"/>
      <c r="T276" s="6"/>
      <c r="U276" s="28" t="str">
        <f>HYPERLINK("https://media.infra-m.ru/1913/1913679/cover/1913679.jpg", "Обложка")</f>
        <v>Обложка</v>
      </c>
      <c r="V276" s="28" t="str">
        <f>HYPERLINK("https://znanium.com/catalog/product/1010072", "Ознакомиться")</f>
        <v>Ознакомиться</v>
      </c>
      <c r="W276" s="8" t="s">
        <v>114</v>
      </c>
      <c r="X276" s="6"/>
      <c r="Y276" s="6"/>
      <c r="Z276" s="6"/>
      <c r="AA276" s="6" t="s">
        <v>298</v>
      </c>
    </row>
    <row r="277" spans="1:27" s="4" customFormat="1" ht="44.1" customHeight="1">
      <c r="A277" s="5">
        <v>0</v>
      </c>
      <c r="B277" s="6" t="s">
        <v>1656</v>
      </c>
      <c r="C277" s="7">
        <v>670</v>
      </c>
      <c r="D277" s="8" t="s">
        <v>1657</v>
      </c>
      <c r="E277" s="8" t="s">
        <v>1658</v>
      </c>
      <c r="F277" s="8" t="s">
        <v>1646</v>
      </c>
      <c r="G277" s="6" t="s">
        <v>58</v>
      </c>
      <c r="H277" s="6" t="s">
        <v>84</v>
      </c>
      <c r="I277" s="8" t="s">
        <v>1647</v>
      </c>
      <c r="J277" s="9">
        <v>1</v>
      </c>
      <c r="K277" s="9">
        <v>193</v>
      </c>
      <c r="L277" s="9">
        <v>2019</v>
      </c>
      <c r="M277" s="8" t="s">
        <v>1659</v>
      </c>
      <c r="N277" s="8" t="s">
        <v>40</v>
      </c>
      <c r="O277" s="8" t="s">
        <v>41</v>
      </c>
      <c r="P277" s="6" t="s">
        <v>75</v>
      </c>
      <c r="Q277" s="8" t="s">
        <v>1660</v>
      </c>
      <c r="R277" s="10" t="s">
        <v>1661</v>
      </c>
      <c r="S277" s="11"/>
      <c r="T277" s="6" t="s">
        <v>368</v>
      </c>
      <c r="U277" s="28" t="str">
        <f>HYPERLINK("https://media.infra-m.ru/0999/0999759/cover/999759.jpg", "Обложка")</f>
        <v>Обложка</v>
      </c>
      <c r="V277" s="28" t="str">
        <f>HYPERLINK("https://znanium.com/catalog/product/1084479", "Ознакомиться")</f>
        <v>Ознакомиться</v>
      </c>
      <c r="W277" s="8" t="s">
        <v>1650</v>
      </c>
      <c r="X277" s="6"/>
      <c r="Y277" s="6"/>
      <c r="Z277" s="6"/>
      <c r="AA277" s="6" t="s">
        <v>79</v>
      </c>
    </row>
    <row r="278" spans="1:27" s="4" customFormat="1" ht="44.1" customHeight="1">
      <c r="A278" s="5">
        <v>0</v>
      </c>
      <c r="B278" s="6" t="s">
        <v>1662</v>
      </c>
      <c r="C278" s="7">
        <v>864.9</v>
      </c>
      <c r="D278" s="8" t="s">
        <v>1663</v>
      </c>
      <c r="E278" s="8" t="s">
        <v>1664</v>
      </c>
      <c r="F278" s="8" t="s">
        <v>1646</v>
      </c>
      <c r="G278" s="6" t="s">
        <v>58</v>
      </c>
      <c r="H278" s="6" t="s">
        <v>84</v>
      </c>
      <c r="I278" s="8" t="s">
        <v>1647</v>
      </c>
      <c r="J278" s="9">
        <v>1</v>
      </c>
      <c r="K278" s="9">
        <v>193</v>
      </c>
      <c r="L278" s="9">
        <v>2023</v>
      </c>
      <c r="M278" s="8" t="s">
        <v>1665</v>
      </c>
      <c r="N278" s="8" t="s">
        <v>40</v>
      </c>
      <c r="O278" s="8" t="s">
        <v>41</v>
      </c>
      <c r="P278" s="6" t="s">
        <v>75</v>
      </c>
      <c r="Q278" s="8" t="s">
        <v>1660</v>
      </c>
      <c r="R278" s="10" t="s">
        <v>1661</v>
      </c>
      <c r="S278" s="11"/>
      <c r="T278" s="6" t="s">
        <v>368</v>
      </c>
      <c r="U278" s="28" t="str">
        <f>HYPERLINK("https://media.infra-m.ru/2006/2006837/cover/2006837.jpg", "Обложка")</f>
        <v>Обложка</v>
      </c>
      <c r="V278" s="28" t="str">
        <f>HYPERLINK("https://znanium.com/catalog/product/1084479", "Ознакомиться")</f>
        <v>Ознакомиться</v>
      </c>
      <c r="W278" s="8" t="s">
        <v>1650</v>
      </c>
      <c r="X278" s="6"/>
      <c r="Y278" s="6"/>
      <c r="Z278" s="6"/>
      <c r="AA278" s="6" t="s">
        <v>739</v>
      </c>
    </row>
    <row r="279" spans="1:27" s="4" customFormat="1" ht="42" customHeight="1">
      <c r="A279" s="5">
        <v>0</v>
      </c>
      <c r="B279" s="6" t="s">
        <v>1666</v>
      </c>
      <c r="C279" s="7">
        <v>594.9</v>
      </c>
      <c r="D279" s="8" t="s">
        <v>1667</v>
      </c>
      <c r="E279" s="8" t="s">
        <v>1668</v>
      </c>
      <c r="F279" s="8" t="s">
        <v>1646</v>
      </c>
      <c r="G279" s="6" t="s">
        <v>51</v>
      </c>
      <c r="H279" s="6" t="s">
        <v>84</v>
      </c>
      <c r="I279" s="8" t="s">
        <v>1647</v>
      </c>
      <c r="J279" s="9">
        <v>1</v>
      </c>
      <c r="K279" s="9">
        <v>166</v>
      </c>
      <c r="L279" s="9">
        <v>2021</v>
      </c>
      <c r="M279" s="8" t="s">
        <v>1669</v>
      </c>
      <c r="N279" s="8" t="s">
        <v>40</v>
      </c>
      <c r="O279" s="8" t="s">
        <v>41</v>
      </c>
      <c r="P279" s="6" t="s">
        <v>910</v>
      </c>
      <c r="Q279" s="8" t="s">
        <v>1670</v>
      </c>
      <c r="R279" s="10" t="s">
        <v>1671</v>
      </c>
      <c r="S279" s="11"/>
      <c r="T279" s="6" t="s">
        <v>368</v>
      </c>
      <c r="U279" s="28" t="str">
        <f>HYPERLINK("https://media.infra-m.ru/1215/1215827/cover/1215827.jpg", "Обложка")</f>
        <v>Обложка</v>
      </c>
      <c r="V279" s="28" t="str">
        <f>HYPERLINK("https://znanium.com/catalog/product/2098992", "Ознакомиться")</f>
        <v>Ознакомиться</v>
      </c>
      <c r="W279" s="8" t="s">
        <v>1650</v>
      </c>
      <c r="X279" s="6"/>
      <c r="Y279" s="6"/>
      <c r="Z279" s="6"/>
      <c r="AA279" s="6" t="s">
        <v>148</v>
      </c>
    </row>
    <row r="280" spans="1:27" s="4" customFormat="1" ht="42" customHeight="1">
      <c r="A280" s="5">
        <v>0</v>
      </c>
      <c r="B280" s="6" t="s">
        <v>1672</v>
      </c>
      <c r="C280" s="7">
        <v>840</v>
      </c>
      <c r="D280" s="8" t="s">
        <v>1673</v>
      </c>
      <c r="E280" s="8" t="s">
        <v>1674</v>
      </c>
      <c r="F280" s="8" t="s">
        <v>1646</v>
      </c>
      <c r="G280" s="6" t="s">
        <v>37</v>
      </c>
      <c r="H280" s="6" t="s">
        <v>84</v>
      </c>
      <c r="I280" s="8" t="s">
        <v>1647</v>
      </c>
      <c r="J280" s="9">
        <v>1</v>
      </c>
      <c r="K280" s="9">
        <v>181</v>
      </c>
      <c r="L280" s="9">
        <v>2024</v>
      </c>
      <c r="M280" s="8" t="s">
        <v>1675</v>
      </c>
      <c r="N280" s="8" t="s">
        <v>40</v>
      </c>
      <c r="O280" s="8" t="s">
        <v>41</v>
      </c>
      <c r="P280" s="6" t="s">
        <v>75</v>
      </c>
      <c r="Q280" s="8" t="s">
        <v>1670</v>
      </c>
      <c r="R280" s="10" t="s">
        <v>1671</v>
      </c>
      <c r="S280" s="11"/>
      <c r="T280" s="6"/>
      <c r="U280" s="28" t="str">
        <f>HYPERLINK("https://media.infra-m.ru/2098/2098992/cover/2098992.jpg", "Обложка")</f>
        <v>Обложка</v>
      </c>
      <c r="V280" s="28" t="str">
        <f>HYPERLINK("https://znanium.com/catalog/product/2098992", "Ознакомиться")</f>
        <v>Ознакомиться</v>
      </c>
      <c r="W280" s="8" t="s">
        <v>1650</v>
      </c>
      <c r="X280" s="6"/>
      <c r="Y280" s="6"/>
      <c r="Z280" s="6"/>
      <c r="AA280" s="6" t="s">
        <v>320</v>
      </c>
    </row>
    <row r="281" spans="1:27" s="4" customFormat="1" ht="44.1" customHeight="1">
      <c r="A281" s="5">
        <v>0</v>
      </c>
      <c r="B281" s="6" t="s">
        <v>1676</v>
      </c>
      <c r="C281" s="7">
        <v>920</v>
      </c>
      <c r="D281" s="8" t="s">
        <v>1677</v>
      </c>
      <c r="E281" s="8" t="s">
        <v>1678</v>
      </c>
      <c r="F281" s="8" t="s">
        <v>1646</v>
      </c>
      <c r="G281" s="6" t="s">
        <v>37</v>
      </c>
      <c r="H281" s="6" t="s">
        <v>84</v>
      </c>
      <c r="I281" s="8" t="s">
        <v>1647</v>
      </c>
      <c r="J281" s="9">
        <v>1</v>
      </c>
      <c r="K281" s="9">
        <v>219</v>
      </c>
      <c r="L281" s="9">
        <v>2022</v>
      </c>
      <c r="M281" s="8" t="s">
        <v>1679</v>
      </c>
      <c r="N281" s="8" t="s">
        <v>40</v>
      </c>
      <c r="O281" s="8" t="s">
        <v>41</v>
      </c>
      <c r="P281" s="6" t="s">
        <v>811</v>
      </c>
      <c r="Q281" s="8" t="s">
        <v>1660</v>
      </c>
      <c r="R281" s="10" t="s">
        <v>1680</v>
      </c>
      <c r="S281" s="11"/>
      <c r="T281" s="6"/>
      <c r="U281" s="28" t="str">
        <f>HYPERLINK("https://media.infra-m.ru/1877/1877136/cover/1877136.jpg", "Обложка")</f>
        <v>Обложка</v>
      </c>
      <c r="V281" s="28" t="str">
        <f>HYPERLINK("https://znanium.com/catalog/product/1877136", "Ознакомиться")</f>
        <v>Ознакомиться</v>
      </c>
      <c r="W281" s="8" t="s">
        <v>1650</v>
      </c>
      <c r="X281" s="6"/>
      <c r="Y281" s="6"/>
      <c r="Z281" s="6"/>
      <c r="AA281" s="6" t="s">
        <v>62</v>
      </c>
    </row>
    <row r="282" spans="1:27" s="4" customFormat="1" ht="44.1" customHeight="1">
      <c r="A282" s="5">
        <v>0</v>
      </c>
      <c r="B282" s="6" t="s">
        <v>1681</v>
      </c>
      <c r="C282" s="13">
        <v>1074.9000000000001</v>
      </c>
      <c r="D282" s="8" t="s">
        <v>1682</v>
      </c>
      <c r="E282" s="8" t="s">
        <v>1683</v>
      </c>
      <c r="F282" s="8" t="s">
        <v>1684</v>
      </c>
      <c r="G282" s="6" t="s">
        <v>51</v>
      </c>
      <c r="H282" s="6" t="s">
        <v>84</v>
      </c>
      <c r="I282" s="8" t="s">
        <v>251</v>
      </c>
      <c r="J282" s="9">
        <v>1</v>
      </c>
      <c r="K282" s="9">
        <v>275</v>
      </c>
      <c r="L282" s="9">
        <v>2022</v>
      </c>
      <c r="M282" s="8" t="s">
        <v>1685</v>
      </c>
      <c r="N282" s="8" t="s">
        <v>40</v>
      </c>
      <c r="O282" s="8" t="s">
        <v>41</v>
      </c>
      <c r="P282" s="6" t="s">
        <v>42</v>
      </c>
      <c r="Q282" s="8" t="s">
        <v>43</v>
      </c>
      <c r="R282" s="10" t="s">
        <v>718</v>
      </c>
      <c r="S282" s="11"/>
      <c r="T282" s="6"/>
      <c r="U282" s="28" t="str">
        <f>HYPERLINK("https://media.infra-m.ru/1842/1842547/cover/1842547.jpg", "Обложка")</f>
        <v>Обложка</v>
      </c>
      <c r="V282" s="28" t="str">
        <f>HYPERLINK("https://znanium.com/catalog/product/1842547", "Ознакомиться")</f>
        <v>Ознакомиться</v>
      </c>
      <c r="W282" s="8" t="s">
        <v>1686</v>
      </c>
      <c r="X282" s="6"/>
      <c r="Y282" s="6"/>
      <c r="Z282" s="6"/>
      <c r="AA282" s="6" t="s">
        <v>415</v>
      </c>
    </row>
    <row r="283" spans="1:27" s="4" customFormat="1" ht="42" customHeight="1">
      <c r="A283" s="5">
        <v>0</v>
      </c>
      <c r="B283" s="6" t="s">
        <v>1687</v>
      </c>
      <c r="C283" s="13">
        <v>1020</v>
      </c>
      <c r="D283" s="8" t="s">
        <v>1688</v>
      </c>
      <c r="E283" s="8" t="s">
        <v>1689</v>
      </c>
      <c r="F283" s="8" t="s">
        <v>1690</v>
      </c>
      <c r="G283" s="6" t="s">
        <v>51</v>
      </c>
      <c r="H283" s="6" t="s">
        <v>84</v>
      </c>
      <c r="I283" s="8" t="s">
        <v>251</v>
      </c>
      <c r="J283" s="9">
        <v>1</v>
      </c>
      <c r="K283" s="9">
        <v>274</v>
      </c>
      <c r="L283" s="9">
        <v>2020</v>
      </c>
      <c r="M283" s="8" t="s">
        <v>1691</v>
      </c>
      <c r="N283" s="8" t="s">
        <v>40</v>
      </c>
      <c r="O283" s="8" t="s">
        <v>41</v>
      </c>
      <c r="P283" s="6" t="s">
        <v>42</v>
      </c>
      <c r="Q283" s="8" t="s">
        <v>43</v>
      </c>
      <c r="R283" s="10" t="s">
        <v>310</v>
      </c>
      <c r="S283" s="11"/>
      <c r="T283" s="6"/>
      <c r="U283" s="28" t="str">
        <f>HYPERLINK("https://media.infra-m.ru/1078/1078337/cover/1078337.jpg", "Обложка")</f>
        <v>Обложка</v>
      </c>
      <c r="V283" s="28" t="str">
        <f>HYPERLINK("https://znanium.com/catalog/product/1078337", "Ознакомиться")</f>
        <v>Ознакомиться</v>
      </c>
      <c r="W283" s="8" t="s">
        <v>1692</v>
      </c>
      <c r="X283" s="6"/>
      <c r="Y283" s="6"/>
      <c r="Z283" s="6"/>
      <c r="AA283" s="6" t="s">
        <v>422</v>
      </c>
    </row>
    <row r="284" spans="1:27" s="4" customFormat="1" ht="42" customHeight="1">
      <c r="A284" s="5">
        <v>0</v>
      </c>
      <c r="B284" s="6" t="s">
        <v>1693</v>
      </c>
      <c r="C284" s="13">
        <v>1744.9</v>
      </c>
      <c r="D284" s="8" t="s">
        <v>1694</v>
      </c>
      <c r="E284" s="8" t="s">
        <v>1695</v>
      </c>
      <c r="F284" s="8" t="s">
        <v>1696</v>
      </c>
      <c r="G284" s="6" t="s">
        <v>58</v>
      </c>
      <c r="H284" s="6" t="s">
        <v>400</v>
      </c>
      <c r="I284" s="8"/>
      <c r="J284" s="9">
        <v>1</v>
      </c>
      <c r="K284" s="9">
        <v>416</v>
      </c>
      <c r="L284" s="9">
        <v>2022</v>
      </c>
      <c r="M284" s="8" t="s">
        <v>1697</v>
      </c>
      <c r="N284" s="8" t="s">
        <v>40</v>
      </c>
      <c r="O284" s="8" t="s">
        <v>41</v>
      </c>
      <c r="P284" s="6" t="s">
        <v>42</v>
      </c>
      <c r="Q284" s="8" t="s">
        <v>43</v>
      </c>
      <c r="R284" s="10" t="s">
        <v>1339</v>
      </c>
      <c r="S284" s="11"/>
      <c r="T284" s="6"/>
      <c r="U284" s="28" t="str">
        <f>HYPERLINK("https://media.infra-m.ru/1869/1869567/cover/1869567.jpg", "Обложка")</f>
        <v>Обложка</v>
      </c>
      <c r="V284" s="28" t="str">
        <f>HYPERLINK("https://znanium.com/catalog/product/1415914", "Ознакомиться")</f>
        <v>Ознакомиться</v>
      </c>
      <c r="W284" s="8" t="s">
        <v>414</v>
      </c>
      <c r="X284" s="6"/>
      <c r="Y284" s="6"/>
      <c r="Z284" s="6"/>
      <c r="AA284" s="6" t="s">
        <v>298</v>
      </c>
    </row>
    <row r="285" spans="1:27" s="4" customFormat="1" ht="42" customHeight="1">
      <c r="A285" s="5">
        <v>0</v>
      </c>
      <c r="B285" s="6" t="s">
        <v>1698</v>
      </c>
      <c r="C285" s="13">
        <v>1624.9</v>
      </c>
      <c r="D285" s="8" t="s">
        <v>1699</v>
      </c>
      <c r="E285" s="8" t="s">
        <v>1700</v>
      </c>
      <c r="F285" s="8" t="s">
        <v>1696</v>
      </c>
      <c r="G285" s="6" t="s">
        <v>58</v>
      </c>
      <c r="H285" s="6" t="s">
        <v>38</v>
      </c>
      <c r="I285" s="8"/>
      <c r="J285" s="9">
        <v>1</v>
      </c>
      <c r="K285" s="9">
        <v>416</v>
      </c>
      <c r="L285" s="9">
        <v>2022</v>
      </c>
      <c r="M285" s="8" t="s">
        <v>1701</v>
      </c>
      <c r="N285" s="8" t="s">
        <v>40</v>
      </c>
      <c r="O285" s="8" t="s">
        <v>41</v>
      </c>
      <c r="P285" s="6" t="s">
        <v>42</v>
      </c>
      <c r="Q285" s="8" t="s">
        <v>43</v>
      </c>
      <c r="R285" s="10" t="s">
        <v>1339</v>
      </c>
      <c r="S285" s="11"/>
      <c r="T285" s="6"/>
      <c r="U285" s="28" t="str">
        <f>HYPERLINK("https://media.infra-m.ru/1859/1859591/cover/1859591.jpg", "Обложка")</f>
        <v>Обложка</v>
      </c>
      <c r="V285" s="28" t="str">
        <f>HYPERLINK("https://znanium.com/catalog/product/1859591", "Ознакомиться")</f>
        <v>Ознакомиться</v>
      </c>
      <c r="W285" s="8" t="s">
        <v>414</v>
      </c>
      <c r="X285" s="6"/>
      <c r="Y285" s="6"/>
      <c r="Z285" s="6"/>
      <c r="AA285" s="6" t="s">
        <v>46</v>
      </c>
    </row>
    <row r="286" spans="1:27" s="4" customFormat="1" ht="42" customHeight="1">
      <c r="A286" s="5">
        <v>0</v>
      </c>
      <c r="B286" s="6" t="s">
        <v>1702</v>
      </c>
      <c r="C286" s="13">
        <v>1744.9</v>
      </c>
      <c r="D286" s="8" t="s">
        <v>1703</v>
      </c>
      <c r="E286" s="8" t="s">
        <v>1704</v>
      </c>
      <c r="F286" s="8" t="s">
        <v>1696</v>
      </c>
      <c r="G286" s="6" t="s">
        <v>58</v>
      </c>
      <c r="H286" s="6" t="s">
        <v>38</v>
      </c>
      <c r="I286" s="8"/>
      <c r="J286" s="9">
        <v>1</v>
      </c>
      <c r="K286" s="9">
        <v>416</v>
      </c>
      <c r="L286" s="9">
        <v>2023</v>
      </c>
      <c r="M286" s="8" t="s">
        <v>1705</v>
      </c>
      <c r="N286" s="8" t="s">
        <v>40</v>
      </c>
      <c r="O286" s="8" t="s">
        <v>41</v>
      </c>
      <c r="P286" s="6" t="s">
        <v>42</v>
      </c>
      <c r="Q286" s="8" t="s">
        <v>43</v>
      </c>
      <c r="R286" s="10" t="s">
        <v>1706</v>
      </c>
      <c r="S286" s="11"/>
      <c r="T286" s="6"/>
      <c r="U286" s="28" t="str">
        <f>HYPERLINK("https://media.infra-m.ru/1876/1876638/cover/1876638.jpg", "Обложка")</f>
        <v>Обложка</v>
      </c>
      <c r="V286" s="28" t="str">
        <f>HYPERLINK("https://znanium.com/catalog/product/1856007", "Ознакомиться")</f>
        <v>Ознакомиться</v>
      </c>
      <c r="W286" s="8" t="s">
        <v>414</v>
      </c>
      <c r="X286" s="6"/>
      <c r="Y286" s="6"/>
      <c r="Z286" s="6"/>
      <c r="AA286" s="6" t="s">
        <v>88</v>
      </c>
    </row>
    <row r="287" spans="1:27" s="4" customFormat="1" ht="42" customHeight="1">
      <c r="A287" s="5">
        <v>0</v>
      </c>
      <c r="B287" s="6" t="s">
        <v>1707</v>
      </c>
      <c r="C287" s="13">
        <v>1724.9</v>
      </c>
      <c r="D287" s="8" t="s">
        <v>1708</v>
      </c>
      <c r="E287" s="8" t="s">
        <v>1709</v>
      </c>
      <c r="F287" s="8" t="s">
        <v>1696</v>
      </c>
      <c r="G287" s="6" t="s">
        <v>37</v>
      </c>
      <c r="H287" s="6" t="s">
        <v>38</v>
      </c>
      <c r="I287" s="8"/>
      <c r="J287" s="9">
        <v>1</v>
      </c>
      <c r="K287" s="9">
        <v>384</v>
      </c>
      <c r="L287" s="9">
        <v>2023</v>
      </c>
      <c r="M287" s="8" t="s">
        <v>1710</v>
      </c>
      <c r="N287" s="8" t="s">
        <v>40</v>
      </c>
      <c r="O287" s="8" t="s">
        <v>41</v>
      </c>
      <c r="P287" s="6" t="s">
        <v>42</v>
      </c>
      <c r="Q287" s="8" t="s">
        <v>43</v>
      </c>
      <c r="R287" s="10" t="s">
        <v>113</v>
      </c>
      <c r="S287" s="11"/>
      <c r="T287" s="6"/>
      <c r="U287" s="28" t="str">
        <f>HYPERLINK("https://media.infra-m.ru/1895/1895629/cover/1895629.jpg", "Обложка")</f>
        <v>Обложка</v>
      </c>
      <c r="V287" s="28" t="str">
        <f>HYPERLINK("https://znanium.com/catalog/product/1856009", "Ознакомиться")</f>
        <v>Ознакомиться</v>
      </c>
      <c r="W287" s="8" t="s">
        <v>414</v>
      </c>
      <c r="X287" s="6"/>
      <c r="Y287" s="6"/>
      <c r="Z287" s="6"/>
      <c r="AA287" s="6" t="s">
        <v>148</v>
      </c>
    </row>
    <row r="288" spans="1:27" s="4" customFormat="1" ht="51.95" customHeight="1">
      <c r="A288" s="5">
        <v>0</v>
      </c>
      <c r="B288" s="6" t="s">
        <v>1711</v>
      </c>
      <c r="C288" s="13">
        <v>1474.4</v>
      </c>
      <c r="D288" s="8" t="s">
        <v>1712</v>
      </c>
      <c r="E288" s="8" t="s">
        <v>1713</v>
      </c>
      <c r="F288" s="8" t="s">
        <v>1714</v>
      </c>
      <c r="G288" s="6" t="s">
        <v>37</v>
      </c>
      <c r="H288" s="6" t="s">
        <v>52</v>
      </c>
      <c r="I288" s="8"/>
      <c r="J288" s="9">
        <v>1</v>
      </c>
      <c r="K288" s="9">
        <v>387</v>
      </c>
      <c r="L288" s="9">
        <v>2021</v>
      </c>
      <c r="M288" s="8" t="s">
        <v>1715</v>
      </c>
      <c r="N288" s="8" t="s">
        <v>40</v>
      </c>
      <c r="O288" s="8" t="s">
        <v>41</v>
      </c>
      <c r="P288" s="6" t="s">
        <v>95</v>
      </c>
      <c r="Q288" s="8" t="s">
        <v>76</v>
      </c>
      <c r="R288" s="10" t="s">
        <v>1716</v>
      </c>
      <c r="S288" s="11"/>
      <c r="T288" s="6"/>
      <c r="U288" s="28" t="str">
        <f>HYPERLINK("https://media.infra-m.ru/1855/1855856/cover/1855856.jpg", "Обложка")</f>
        <v>Обложка</v>
      </c>
      <c r="V288" s="28" t="str">
        <f>HYPERLINK("https://znanium.com/catalog/product/1855856", "Ознакомиться")</f>
        <v>Ознакомиться</v>
      </c>
      <c r="W288" s="8" t="s">
        <v>897</v>
      </c>
      <c r="X288" s="6"/>
      <c r="Y288" s="6"/>
      <c r="Z288" s="6"/>
      <c r="AA288" s="6" t="s">
        <v>640</v>
      </c>
    </row>
    <row r="289" spans="1:27" s="4" customFormat="1" ht="51.95" customHeight="1">
      <c r="A289" s="5">
        <v>0</v>
      </c>
      <c r="B289" s="6" t="s">
        <v>1717</v>
      </c>
      <c r="C289" s="13">
        <v>1750</v>
      </c>
      <c r="D289" s="8" t="s">
        <v>1718</v>
      </c>
      <c r="E289" s="8" t="s">
        <v>1719</v>
      </c>
      <c r="F289" s="8" t="s">
        <v>1714</v>
      </c>
      <c r="G289" s="6" t="s">
        <v>37</v>
      </c>
      <c r="H289" s="6" t="s">
        <v>52</v>
      </c>
      <c r="I289" s="8"/>
      <c r="J289" s="9">
        <v>1</v>
      </c>
      <c r="K289" s="9">
        <v>388</v>
      </c>
      <c r="L289" s="9">
        <v>2023</v>
      </c>
      <c r="M289" s="8" t="s">
        <v>1720</v>
      </c>
      <c r="N289" s="8" t="s">
        <v>40</v>
      </c>
      <c r="O289" s="8" t="s">
        <v>41</v>
      </c>
      <c r="P289" s="6" t="s">
        <v>95</v>
      </c>
      <c r="Q289" s="8" t="s">
        <v>76</v>
      </c>
      <c r="R289" s="10" t="s">
        <v>1716</v>
      </c>
      <c r="S289" s="11"/>
      <c r="T289" s="6"/>
      <c r="U289" s="28" t="str">
        <f>HYPERLINK("https://media.infra-m.ru/1932/1932337/cover/1932337.jpg", "Обложка")</f>
        <v>Обложка</v>
      </c>
      <c r="V289" s="28" t="str">
        <f>HYPERLINK("https://znanium.com/catalog/product/1855856", "Ознакомиться")</f>
        <v>Ознакомиться</v>
      </c>
      <c r="W289" s="8" t="s">
        <v>897</v>
      </c>
      <c r="X289" s="6"/>
      <c r="Y289" s="6"/>
      <c r="Z289" s="6"/>
      <c r="AA289" s="6" t="s">
        <v>1721</v>
      </c>
    </row>
    <row r="290" spans="1:27" s="4" customFormat="1" ht="51.95" customHeight="1">
      <c r="A290" s="5">
        <v>0</v>
      </c>
      <c r="B290" s="6" t="s">
        <v>1722</v>
      </c>
      <c r="C290" s="7">
        <v>674.9</v>
      </c>
      <c r="D290" s="8" t="s">
        <v>1723</v>
      </c>
      <c r="E290" s="8" t="s">
        <v>1724</v>
      </c>
      <c r="F290" s="8" t="s">
        <v>1725</v>
      </c>
      <c r="G290" s="6" t="s">
        <v>1726</v>
      </c>
      <c r="H290" s="6" t="s">
        <v>52</v>
      </c>
      <c r="I290" s="8" t="s">
        <v>185</v>
      </c>
      <c r="J290" s="9">
        <v>10</v>
      </c>
      <c r="K290" s="9">
        <v>443</v>
      </c>
      <c r="L290" s="9">
        <v>2015</v>
      </c>
      <c r="M290" s="8" t="s">
        <v>1727</v>
      </c>
      <c r="N290" s="8" t="s">
        <v>40</v>
      </c>
      <c r="O290" s="8" t="s">
        <v>41</v>
      </c>
      <c r="P290" s="6" t="s">
        <v>95</v>
      </c>
      <c r="Q290" s="8" t="s">
        <v>76</v>
      </c>
      <c r="R290" s="10" t="s">
        <v>1716</v>
      </c>
      <c r="S290" s="11" t="s">
        <v>1728</v>
      </c>
      <c r="T290" s="6"/>
      <c r="U290" s="28" t="str">
        <f>HYPERLINK("https://media.infra-m.ru/0502/0502204/cover/502204.jpg", "Обложка")</f>
        <v>Обложка</v>
      </c>
      <c r="V290" s="28" t="str">
        <f>HYPERLINK("https://znanium.com/catalog/product/1855856", "Ознакомиться")</f>
        <v>Ознакомиться</v>
      </c>
      <c r="W290" s="8" t="s">
        <v>897</v>
      </c>
      <c r="X290" s="6"/>
      <c r="Y290" s="6"/>
      <c r="Z290" s="6"/>
      <c r="AA290" s="6" t="s">
        <v>727</v>
      </c>
    </row>
    <row r="291" spans="1:27" s="4" customFormat="1" ht="51.95" customHeight="1">
      <c r="A291" s="5">
        <v>0</v>
      </c>
      <c r="B291" s="6" t="s">
        <v>1729</v>
      </c>
      <c r="C291" s="13">
        <v>2520</v>
      </c>
      <c r="D291" s="8" t="s">
        <v>1730</v>
      </c>
      <c r="E291" s="8" t="s">
        <v>1731</v>
      </c>
      <c r="F291" s="8" t="s">
        <v>1696</v>
      </c>
      <c r="G291" s="6" t="s">
        <v>37</v>
      </c>
      <c r="H291" s="6" t="s">
        <v>38</v>
      </c>
      <c r="I291" s="8" t="s">
        <v>1732</v>
      </c>
      <c r="J291" s="9">
        <v>1</v>
      </c>
      <c r="K291" s="9">
        <v>560</v>
      </c>
      <c r="L291" s="9">
        <v>2023</v>
      </c>
      <c r="M291" s="8" t="s">
        <v>1733</v>
      </c>
      <c r="N291" s="8" t="s">
        <v>40</v>
      </c>
      <c r="O291" s="8" t="s">
        <v>41</v>
      </c>
      <c r="P291" s="6" t="s">
        <v>95</v>
      </c>
      <c r="Q291" s="8" t="s">
        <v>76</v>
      </c>
      <c r="R291" s="10" t="s">
        <v>1734</v>
      </c>
      <c r="S291" s="11" t="s">
        <v>1735</v>
      </c>
      <c r="T291" s="6"/>
      <c r="U291" s="28" t="str">
        <f>HYPERLINK("https://media.infra-m.ru/1893/1893842/cover/1893842.jpg", "Обложка")</f>
        <v>Обложка</v>
      </c>
      <c r="V291" s="28" t="str">
        <f>HYPERLINK("https://znanium.com/catalog/product/1893842", "Ознакомиться")</f>
        <v>Ознакомиться</v>
      </c>
      <c r="W291" s="8" t="s">
        <v>414</v>
      </c>
      <c r="X291" s="6"/>
      <c r="Y291" s="6"/>
      <c r="Z291" s="6"/>
      <c r="AA291" s="6" t="s">
        <v>1180</v>
      </c>
    </row>
    <row r="292" spans="1:27" s="4" customFormat="1" ht="42" customHeight="1">
      <c r="A292" s="5">
        <v>0</v>
      </c>
      <c r="B292" s="6" t="s">
        <v>1736</v>
      </c>
      <c r="C292" s="13">
        <v>1254</v>
      </c>
      <c r="D292" s="8" t="s">
        <v>1737</v>
      </c>
      <c r="E292" s="8" t="s">
        <v>1738</v>
      </c>
      <c r="F292" s="8" t="s">
        <v>1739</v>
      </c>
      <c r="G292" s="6" t="s">
        <v>58</v>
      </c>
      <c r="H292" s="6" t="s">
        <v>84</v>
      </c>
      <c r="I292" s="8" t="s">
        <v>85</v>
      </c>
      <c r="J292" s="9">
        <v>1</v>
      </c>
      <c r="K292" s="9">
        <v>272</v>
      </c>
      <c r="L292" s="9">
        <v>2024</v>
      </c>
      <c r="M292" s="8" t="s">
        <v>1740</v>
      </c>
      <c r="N292" s="8" t="s">
        <v>40</v>
      </c>
      <c r="O292" s="8" t="s">
        <v>41</v>
      </c>
      <c r="P292" s="6" t="s">
        <v>42</v>
      </c>
      <c r="Q292" s="8" t="s">
        <v>43</v>
      </c>
      <c r="R292" s="10" t="s">
        <v>1741</v>
      </c>
      <c r="S292" s="11"/>
      <c r="T292" s="6"/>
      <c r="U292" s="28" t="str">
        <f>HYPERLINK("https://media.infra-m.ru/2084/2084716/cover/2084716.jpg", "Обложка")</f>
        <v>Обложка</v>
      </c>
      <c r="V292" s="28" t="str">
        <f>HYPERLINK("https://znanium.com/catalog/product/1856721", "Ознакомиться")</f>
        <v>Ознакомиться</v>
      </c>
      <c r="W292" s="8" t="s">
        <v>45</v>
      </c>
      <c r="X292" s="6"/>
      <c r="Y292" s="6"/>
      <c r="Z292" s="6"/>
      <c r="AA292" s="6" t="s">
        <v>298</v>
      </c>
    </row>
    <row r="293" spans="1:27" s="4" customFormat="1" ht="51.95" customHeight="1">
      <c r="A293" s="5">
        <v>0</v>
      </c>
      <c r="B293" s="6" t="s">
        <v>1742</v>
      </c>
      <c r="C293" s="7">
        <v>914</v>
      </c>
      <c r="D293" s="8" t="s">
        <v>1743</v>
      </c>
      <c r="E293" s="8" t="s">
        <v>1744</v>
      </c>
      <c r="F293" s="8" t="s">
        <v>1565</v>
      </c>
      <c r="G293" s="6" t="s">
        <v>58</v>
      </c>
      <c r="H293" s="6" t="s">
        <v>84</v>
      </c>
      <c r="I293" s="8" t="s">
        <v>93</v>
      </c>
      <c r="J293" s="9">
        <v>1</v>
      </c>
      <c r="K293" s="9">
        <v>194</v>
      </c>
      <c r="L293" s="9">
        <v>2024</v>
      </c>
      <c r="M293" s="8" t="s">
        <v>1745</v>
      </c>
      <c r="N293" s="8" t="s">
        <v>40</v>
      </c>
      <c r="O293" s="8" t="s">
        <v>41</v>
      </c>
      <c r="P293" s="6" t="s">
        <v>75</v>
      </c>
      <c r="Q293" s="8" t="s">
        <v>96</v>
      </c>
      <c r="R293" s="10" t="s">
        <v>1746</v>
      </c>
      <c r="S293" s="11" t="s">
        <v>1747</v>
      </c>
      <c r="T293" s="6"/>
      <c r="U293" s="28" t="str">
        <f>HYPERLINK("https://media.infra-m.ru/2080/2080938/cover/2080938.jpg", "Обложка")</f>
        <v>Обложка</v>
      </c>
      <c r="V293" s="28" t="str">
        <f>HYPERLINK("https://znanium.com/catalog/product/1844340", "Ознакомиться")</f>
        <v>Ознакомиться</v>
      </c>
      <c r="W293" s="8" t="s">
        <v>1568</v>
      </c>
      <c r="X293" s="6"/>
      <c r="Y293" s="6"/>
      <c r="Z293" s="6"/>
      <c r="AA293" s="6" t="s">
        <v>343</v>
      </c>
    </row>
    <row r="294" spans="1:27" s="4" customFormat="1" ht="33" customHeight="1">
      <c r="A294" s="5">
        <v>0</v>
      </c>
      <c r="B294" s="6" t="s">
        <v>1748</v>
      </c>
      <c r="C294" s="7">
        <v>444.9</v>
      </c>
      <c r="D294" s="8" t="s">
        <v>1749</v>
      </c>
      <c r="E294" s="8" t="s">
        <v>1750</v>
      </c>
      <c r="F294" s="8" t="s">
        <v>1751</v>
      </c>
      <c r="G294" s="6" t="s">
        <v>51</v>
      </c>
      <c r="H294" s="6" t="s">
        <v>38</v>
      </c>
      <c r="I294" s="8"/>
      <c r="J294" s="9">
        <v>1</v>
      </c>
      <c r="K294" s="9">
        <v>256</v>
      </c>
      <c r="L294" s="9">
        <v>2017</v>
      </c>
      <c r="M294" s="8" t="s">
        <v>1752</v>
      </c>
      <c r="N294" s="8" t="s">
        <v>40</v>
      </c>
      <c r="O294" s="8" t="s">
        <v>41</v>
      </c>
      <c r="P294" s="6" t="s">
        <v>42</v>
      </c>
      <c r="Q294" s="8" t="s">
        <v>43</v>
      </c>
      <c r="R294" s="10" t="s">
        <v>304</v>
      </c>
      <c r="S294" s="11"/>
      <c r="T294" s="6"/>
      <c r="U294" s="12"/>
      <c r="V294" s="28" t="str">
        <f>HYPERLINK("https://znanium.com/catalog/product/411525", "Ознакомиться")</f>
        <v>Ознакомиться</v>
      </c>
      <c r="W294" s="8" t="s">
        <v>712</v>
      </c>
      <c r="X294" s="6"/>
      <c r="Y294" s="6"/>
      <c r="Z294" s="6"/>
      <c r="AA294" s="6" t="s">
        <v>289</v>
      </c>
    </row>
    <row r="295" spans="1:27" s="4" customFormat="1" ht="44.1" customHeight="1">
      <c r="A295" s="5">
        <v>0</v>
      </c>
      <c r="B295" s="6" t="s">
        <v>1753</v>
      </c>
      <c r="C295" s="13">
        <v>1040</v>
      </c>
      <c r="D295" s="8" t="s">
        <v>1754</v>
      </c>
      <c r="E295" s="8" t="s">
        <v>1755</v>
      </c>
      <c r="F295" s="8" t="s">
        <v>1756</v>
      </c>
      <c r="G295" s="6" t="s">
        <v>58</v>
      </c>
      <c r="H295" s="6" t="s">
        <v>84</v>
      </c>
      <c r="I295" s="8" t="s">
        <v>251</v>
      </c>
      <c r="J295" s="9">
        <v>1</v>
      </c>
      <c r="K295" s="9">
        <v>225</v>
      </c>
      <c r="L295" s="9">
        <v>2023</v>
      </c>
      <c r="M295" s="8" t="s">
        <v>1757</v>
      </c>
      <c r="N295" s="8" t="s">
        <v>40</v>
      </c>
      <c r="O295" s="8" t="s">
        <v>41</v>
      </c>
      <c r="P295" s="6" t="s">
        <v>42</v>
      </c>
      <c r="Q295" s="8" t="s">
        <v>43</v>
      </c>
      <c r="R295" s="10" t="s">
        <v>1290</v>
      </c>
      <c r="S295" s="11"/>
      <c r="T295" s="6"/>
      <c r="U295" s="28" t="str">
        <f>HYPERLINK("https://media.infra-m.ru/2021/2021346/cover/2021346.jpg", "Обложка")</f>
        <v>Обложка</v>
      </c>
      <c r="V295" s="28" t="str">
        <f>HYPERLINK("https://znanium.com/catalog/product/2021346", "Ознакомиться")</f>
        <v>Ознакомиться</v>
      </c>
      <c r="W295" s="8" t="s">
        <v>1285</v>
      </c>
      <c r="X295" s="6" t="s">
        <v>1446</v>
      </c>
      <c r="Y295" s="6"/>
      <c r="Z295" s="6"/>
      <c r="AA295" s="6" t="s">
        <v>408</v>
      </c>
    </row>
    <row r="296" spans="1:27" s="4" customFormat="1" ht="51.95" customHeight="1">
      <c r="A296" s="5">
        <v>0</v>
      </c>
      <c r="B296" s="6" t="s">
        <v>1758</v>
      </c>
      <c r="C296" s="7">
        <v>734</v>
      </c>
      <c r="D296" s="8" t="s">
        <v>1759</v>
      </c>
      <c r="E296" s="8" t="s">
        <v>1760</v>
      </c>
      <c r="F296" s="8" t="s">
        <v>1761</v>
      </c>
      <c r="G296" s="6" t="s">
        <v>51</v>
      </c>
      <c r="H296" s="6" t="s">
        <v>38</v>
      </c>
      <c r="I296" s="8"/>
      <c r="J296" s="9">
        <v>1</v>
      </c>
      <c r="K296" s="9">
        <v>176</v>
      </c>
      <c r="L296" s="9">
        <v>2024</v>
      </c>
      <c r="M296" s="8" t="s">
        <v>1762</v>
      </c>
      <c r="N296" s="8" t="s">
        <v>40</v>
      </c>
      <c r="O296" s="8" t="s">
        <v>41</v>
      </c>
      <c r="P296" s="6" t="s">
        <v>75</v>
      </c>
      <c r="Q296" s="8" t="s">
        <v>76</v>
      </c>
      <c r="R296" s="10" t="s">
        <v>1763</v>
      </c>
      <c r="S296" s="11" t="s">
        <v>1764</v>
      </c>
      <c r="T296" s="6"/>
      <c r="U296" s="28" t="str">
        <f>HYPERLINK("https://media.infra-m.ru/1895/1895237/cover/1895237.jpg", "Обложка")</f>
        <v>Обложка</v>
      </c>
      <c r="V296" s="28" t="str">
        <f>HYPERLINK("https://znanium.com/catalog/product/1173603", "Ознакомиться")</f>
        <v>Ознакомиться</v>
      </c>
      <c r="W296" s="8" t="s">
        <v>1765</v>
      </c>
      <c r="X296" s="6"/>
      <c r="Y296" s="6"/>
      <c r="Z296" s="6"/>
      <c r="AA296" s="6" t="s">
        <v>298</v>
      </c>
    </row>
    <row r="297" spans="1:27" s="4" customFormat="1" ht="51.95" customHeight="1">
      <c r="A297" s="5">
        <v>0</v>
      </c>
      <c r="B297" s="6" t="s">
        <v>1766</v>
      </c>
      <c r="C297" s="13">
        <v>1340</v>
      </c>
      <c r="D297" s="8" t="s">
        <v>1767</v>
      </c>
      <c r="E297" s="8" t="s">
        <v>1768</v>
      </c>
      <c r="F297" s="8" t="s">
        <v>1769</v>
      </c>
      <c r="G297" s="6" t="s">
        <v>51</v>
      </c>
      <c r="H297" s="6" t="s">
        <v>84</v>
      </c>
      <c r="I297" s="8" t="s">
        <v>251</v>
      </c>
      <c r="J297" s="9">
        <v>1</v>
      </c>
      <c r="K297" s="9">
        <v>297</v>
      </c>
      <c r="L297" s="9">
        <v>2023</v>
      </c>
      <c r="M297" s="8" t="s">
        <v>1770</v>
      </c>
      <c r="N297" s="8" t="s">
        <v>40</v>
      </c>
      <c r="O297" s="8" t="s">
        <v>41</v>
      </c>
      <c r="P297" s="6" t="s">
        <v>295</v>
      </c>
      <c r="Q297" s="8" t="s">
        <v>43</v>
      </c>
      <c r="R297" s="10" t="s">
        <v>310</v>
      </c>
      <c r="S297" s="11"/>
      <c r="T297" s="6"/>
      <c r="U297" s="28" t="str">
        <f>HYPERLINK("https://media.infra-m.ru/2038/2038314/cover/2038314.jpg", "Обложка")</f>
        <v>Обложка</v>
      </c>
      <c r="V297" s="28" t="str">
        <f>HYPERLINK("https://znanium.com/catalog/product/2038314", "Ознакомиться")</f>
        <v>Ознакомиться</v>
      </c>
      <c r="W297" s="8" t="s">
        <v>237</v>
      </c>
      <c r="X297" s="6"/>
      <c r="Y297" s="6"/>
      <c r="Z297" s="6"/>
      <c r="AA297" s="6" t="s">
        <v>88</v>
      </c>
    </row>
    <row r="298" spans="1:27" s="4" customFormat="1" ht="42" customHeight="1">
      <c r="A298" s="5">
        <v>0</v>
      </c>
      <c r="B298" s="6" t="s">
        <v>1771</v>
      </c>
      <c r="C298" s="13">
        <v>1370</v>
      </c>
      <c r="D298" s="8" t="s">
        <v>1772</v>
      </c>
      <c r="E298" s="8" t="s">
        <v>1773</v>
      </c>
      <c r="F298" s="8" t="s">
        <v>1774</v>
      </c>
      <c r="G298" s="6" t="s">
        <v>37</v>
      </c>
      <c r="H298" s="6" t="s">
        <v>84</v>
      </c>
      <c r="I298" s="8" t="s">
        <v>85</v>
      </c>
      <c r="J298" s="9">
        <v>1</v>
      </c>
      <c r="K298" s="9">
        <v>304</v>
      </c>
      <c r="L298" s="9">
        <v>2023</v>
      </c>
      <c r="M298" s="8" t="s">
        <v>1775</v>
      </c>
      <c r="N298" s="8" t="s">
        <v>40</v>
      </c>
      <c r="O298" s="8" t="s">
        <v>41</v>
      </c>
      <c r="P298" s="6" t="s">
        <v>811</v>
      </c>
      <c r="Q298" s="8" t="s">
        <v>43</v>
      </c>
      <c r="R298" s="10" t="s">
        <v>1339</v>
      </c>
      <c r="S298" s="11"/>
      <c r="T298" s="6"/>
      <c r="U298" s="28" t="str">
        <f>HYPERLINK("https://media.infra-m.ru/1915/1915637/cover/1915637.jpg", "Обложка")</f>
        <v>Обложка</v>
      </c>
      <c r="V298" s="28" t="str">
        <f>HYPERLINK("https://znanium.com/catalog/product/1915637", "Ознакомиться")</f>
        <v>Ознакомиться</v>
      </c>
      <c r="W298" s="8" t="s">
        <v>45</v>
      </c>
      <c r="X298" s="6"/>
      <c r="Y298" s="6"/>
      <c r="Z298" s="6"/>
      <c r="AA298" s="6" t="s">
        <v>115</v>
      </c>
    </row>
    <row r="299" spans="1:27" s="4" customFormat="1" ht="42" customHeight="1">
      <c r="A299" s="5">
        <v>0</v>
      </c>
      <c r="B299" s="6" t="s">
        <v>1776</v>
      </c>
      <c r="C299" s="13">
        <v>1370</v>
      </c>
      <c r="D299" s="8" t="s">
        <v>1777</v>
      </c>
      <c r="E299" s="8" t="s">
        <v>1778</v>
      </c>
      <c r="F299" s="8" t="s">
        <v>1779</v>
      </c>
      <c r="G299" s="6" t="s">
        <v>37</v>
      </c>
      <c r="H299" s="6" t="s">
        <v>38</v>
      </c>
      <c r="I299" s="8"/>
      <c r="J299" s="9">
        <v>1</v>
      </c>
      <c r="K299" s="9">
        <v>304</v>
      </c>
      <c r="L299" s="9">
        <v>2023</v>
      </c>
      <c r="M299" s="8" t="s">
        <v>1780</v>
      </c>
      <c r="N299" s="8" t="s">
        <v>40</v>
      </c>
      <c r="O299" s="8" t="s">
        <v>41</v>
      </c>
      <c r="P299" s="6" t="s">
        <v>1781</v>
      </c>
      <c r="Q299" s="8" t="s">
        <v>43</v>
      </c>
      <c r="R299" s="10" t="s">
        <v>304</v>
      </c>
      <c r="S299" s="11"/>
      <c r="T299" s="6"/>
      <c r="U299" s="28" t="str">
        <f>HYPERLINK("https://media.infra-m.ru/1853/1853525/cover/1853525.jpg", "Обложка")</f>
        <v>Обложка</v>
      </c>
      <c r="V299" s="28" t="str">
        <f>HYPERLINK("https://znanium.com/catalog/product/1853525", "Ознакомиться")</f>
        <v>Ознакомиться</v>
      </c>
      <c r="W299" s="8" t="s">
        <v>1356</v>
      </c>
      <c r="X299" s="6"/>
      <c r="Y299" s="6"/>
      <c r="Z299" s="6"/>
      <c r="AA299" s="6" t="s">
        <v>298</v>
      </c>
    </row>
    <row r="300" spans="1:27" s="4" customFormat="1" ht="42" customHeight="1">
      <c r="A300" s="5">
        <v>0</v>
      </c>
      <c r="B300" s="6" t="s">
        <v>1782</v>
      </c>
      <c r="C300" s="7">
        <v>584</v>
      </c>
      <c r="D300" s="8" t="s">
        <v>1783</v>
      </c>
      <c r="E300" s="8" t="s">
        <v>1784</v>
      </c>
      <c r="F300" s="8" t="s">
        <v>1785</v>
      </c>
      <c r="G300" s="6" t="s">
        <v>51</v>
      </c>
      <c r="H300" s="6" t="s">
        <v>38</v>
      </c>
      <c r="I300" s="8"/>
      <c r="J300" s="9">
        <v>1</v>
      </c>
      <c r="K300" s="9">
        <v>112</v>
      </c>
      <c r="L300" s="9">
        <v>2023</v>
      </c>
      <c r="M300" s="8" t="s">
        <v>1786</v>
      </c>
      <c r="N300" s="8" t="s">
        <v>40</v>
      </c>
      <c r="O300" s="8" t="s">
        <v>41</v>
      </c>
      <c r="P300" s="6" t="s">
        <v>42</v>
      </c>
      <c r="Q300" s="8" t="s">
        <v>43</v>
      </c>
      <c r="R300" s="10" t="s">
        <v>310</v>
      </c>
      <c r="S300" s="11"/>
      <c r="T300" s="6"/>
      <c r="U300" s="28" t="str">
        <f>HYPERLINK("https://media.infra-m.ru/2043/2043219/cover/2043219.jpg", "Обложка")</f>
        <v>Обложка</v>
      </c>
      <c r="V300" s="28" t="str">
        <f>HYPERLINK("https://znanium.com/catalog/product/1850679", "Ознакомиться")</f>
        <v>Ознакомиться</v>
      </c>
      <c r="W300" s="8" t="s">
        <v>700</v>
      </c>
      <c r="X300" s="6"/>
      <c r="Y300" s="6"/>
      <c r="Z300" s="6"/>
      <c r="AA300" s="6" t="s">
        <v>422</v>
      </c>
    </row>
    <row r="301" spans="1:27" s="4" customFormat="1" ht="51.95" customHeight="1">
      <c r="A301" s="5">
        <v>0</v>
      </c>
      <c r="B301" s="6" t="s">
        <v>1787</v>
      </c>
      <c r="C301" s="7">
        <v>954</v>
      </c>
      <c r="D301" s="8" t="s">
        <v>1788</v>
      </c>
      <c r="E301" s="8" t="s">
        <v>1789</v>
      </c>
      <c r="F301" s="8" t="s">
        <v>1790</v>
      </c>
      <c r="G301" s="6" t="s">
        <v>37</v>
      </c>
      <c r="H301" s="6" t="s">
        <v>84</v>
      </c>
      <c r="I301" s="8" t="s">
        <v>251</v>
      </c>
      <c r="J301" s="9">
        <v>1</v>
      </c>
      <c r="K301" s="9">
        <v>211</v>
      </c>
      <c r="L301" s="9">
        <v>2023</v>
      </c>
      <c r="M301" s="8" t="s">
        <v>1791</v>
      </c>
      <c r="N301" s="8" t="s">
        <v>40</v>
      </c>
      <c r="O301" s="8" t="s">
        <v>41</v>
      </c>
      <c r="P301" s="6" t="s">
        <v>42</v>
      </c>
      <c r="Q301" s="8" t="s">
        <v>43</v>
      </c>
      <c r="R301" s="10" t="s">
        <v>1792</v>
      </c>
      <c r="S301" s="11"/>
      <c r="T301" s="6"/>
      <c r="U301" s="28" t="str">
        <f>HYPERLINK("https://media.infra-m.ru/1895/1895635/cover/1895635.jpg", "Обложка")</f>
        <v>Обложка</v>
      </c>
      <c r="V301" s="28" t="str">
        <f>HYPERLINK("https://znanium.com/catalog/product/1857341", "Ознакомиться")</f>
        <v>Ознакомиться</v>
      </c>
      <c r="W301" s="8" t="s">
        <v>414</v>
      </c>
      <c r="X301" s="6"/>
      <c r="Y301" s="6"/>
      <c r="Z301" s="6"/>
      <c r="AA301" s="6" t="s">
        <v>79</v>
      </c>
    </row>
    <row r="302" spans="1:27" s="4" customFormat="1" ht="51.95" customHeight="1">
      <c r="A302" s="5">
        <v>0</v>
      </c>
      <c r="B302" s="6" t="s">
        <v>1793</v>
      </c>
      <c r="C302" s="13">
        <v>1150</v>
      </c>
      <c r="D302" s="8" t="s">
        <v>1794</v>
      </c>
      <c r="E302" s="8" t="s">
        <v>1795</v>
      </c>
      <c r="F302" s="8" t="s">
        <v>1796</v>
      </c>
      <c r="G302" s="6" t="s">
        <v>37</v>
      </c>
      <c r="H302" s="6" t="s">
        <v>38</v>
      </c>
      <c r="I302" s="8"/>
      <c r="J302" s="9">
        <v>1</v>
      </c>
      <c r="K302" s="9">
        <v>256</v>
      </c>
      <c r="L302" s="9">
        <v>2016</v>
      </c>
      <c r="M302" s="8" t="s">
        <v>1797</v>
      </c>
      <c r="N302" s="8" t="s">
        <v>40</v>
      </c>
      <c r="O302" s="8" t="s">
        <v>41</v>
      </c>
      <c r="P302" s="6" t="s">
        <v>141</v>
      </c>
      <c r="Q302" s="8" t="s">
        <v>76</v>
      </c>
      <c r="R302" s="10" t="s">
        <v>1798</v>
      </c>
      <c r="S302" s="11"/>
      <c r="T302" s="6"/>
      <c r="U302" s="28" t="str">
        <f>HYPERLINK("https://media.infra-m.ru/0978/0978935/cover/978935.jpg", "Обложка")</f>
        <v>Обложка</v>
      </c>
      <c r="V302" s="28" t="str">
        <f>HYPERLINK("https://znanium.com/catalog/product/526413", "Ознакомиться")</f>
        <v>Ознакомиться</v>
      </c>
      <c r="W302" s="8" t="s">
        <v>288</v>
      </c>
      <c r="X302" s="6"/>
      <c r="Y302" s="6"/>
      <c r="Z302" s="6"/>
      <c r="AA302" s="6" t="s">
        <v>88</v>
      </c>
    </row>
    <row r="303" spans="1:27" s="4" customFormat="1" ht="51.95" customHeight="1">
      <c r="A303" s="5">
        <v>0</v>
      </c>
      <c r="B303" s="6" t="s">
        <v>1799</v>
      </c>
      <c r="C303" s="13">
        <v>1250</v>
      </c>
      <c r="D303" s="8" t="s">
        <v>1800</v>
      </c>
      <c r="E303" s="8" t="s">
        <v>1801</v>
      </c>
      <c r="F303" s="8" t="s">
        <v>250</v>
      </c>
      <c r="G303" s="6" t="s">
        <v>58</v>
      </c>
      <c r="H303" s="6" t="s">
        <v>84</v>
      </c>
      <c r="I303" s="8" t="s">
        <v>1802</v>
      </c>
      <c r="J303" s="9">
        <v>1</v>
      </c>
      <c r="K303" s="9">
        <v>263</v>
      </c>
      <c r="L303" s="9">
        <v>2023</v>
      </c>
      <c r="M303" s="8" t="s">
        <v>1803</v>
      </c>
      <c r="N303" s="8" t="s">
        <v>40</v>
      </c>
      <c r="O303" s="8" t="s">
        <v>41</v>
      </c>
      <c r="P303" s="6" t="s">
        <v>95</v>
      </c>
      <c r="Q303" s="8" t="s">
        <v>76</v>
      </c>
      <c r="R303" s="10" t="s">
        <v>1804</v>
      </c>
      <c r="S303" s="11" t="s">
        <v>1805</v>
      </c>
      <c r="T303" s="6"/>
      <c r="U303" s="28" t="str">
        <f>HYPERLINK("https://media.infra-m.ru/1989/1989251/cover/1989251.jpg", "Обложка")</f>
        <v>Обложка</v>
      </c>
      <c r="V303" s="28" t="str">
        <f>HYPERLINK("https://znanium.com/catalog/product/1989251", "Ознакомиться")</f>
        <v>Ознакомиться</v>
      </c>
      <c r="W303" s="8" t="s">
        <v>195</v>
      </c>
      <c r="X303" s="6" t="s">
        <v>475</v>
      </c>
      <c r="Y303" s="6"/>
      <c r="Z303" s="6"/>
      <c r="AA303" s="6" t="s">
        <v>1806</v>
      </c>
    </row>
    <row r="304" spans="1:27" s="4" customFormat="1" ht="51.95" customHeight="1">
      <c r="A304" s="5">
        <v>0</v>
      </c>
      <c r="B304" s="6" t="s">
        <v>1807</v>
      </c>
      <c r="C304" s="7">
        <v>994.9</v>
      </c>
      <c r="D304" s="8" t="s">
        <v>1808</v>
      </c>
      <c r="E304" s="8" t="s">
        <v>1809</v>
      </c>
      <c r="F304" s="8" t="s">
        <v>250</v>
      </c>
      <c r="G304" s="6" t="s">
        <v>37</v>
      </c>
      <c r="H304" s="6" t="s">
        <v>84</v>
      </c>
      <c r="I304" s="8" t="s">
        <v>185</v>
      </c>
      <c r="J304" s="9">
        <v>1</v>
      </c>
      <c r="K304" s="9">
        <v>239</v>
      </c>
      <c r="L304" s="9">
        <v>2022</v>
      </c>
      <c r="M304" s="8" t="s">
        <v>1810</v>
      </c>
      <c r="N304" s="8" t="s">
        <v>40</v>
      </c>
      <c r="O304" s="8" t="s">
        <v>41</v>
      </c>
      <c r="P304" s="6" t="s">
        <v>75</v>
      </c>
      <c r="Q304" s="8" t="s">
        <v>76</v>
      </c>
      <c r="R304" s="10" t="s">
        <v>1804</v>
      </c>
      <c r="S304" s="11" t="s">
        <v>1811</v>
      </c>
      <c r="T304" s="6"/>
      <c r="U304" s="28" t="str">
        <f>HYPERLINK("https://media.infra-m.ru/1869/1869569/cover/1869569.jpg", "Обложка")</f>
        <v>Обложка</v>
      </c>
      <c r="V304" s="28" t="str">
        <f>HYPERLINK("https://znanium.com/catalog/product/1989251", "Ознакомиться")</f>
        <v>Ознакомиться</v>
      </c>
      <c r="W304" s="8" t="s">
        <v>195</v>
      </c>
      <c r="X304" s="6"/>
      <c r="Y304" s="6"/>
      <c r="Z304" s="6"/>
      <c r="AA304" s="6" t="s">
        <v>171</v>
      </c>
    </row>
    <row r="305" spans="1:27" s="4" customFormat="1" ht="51.95" customHeight="1">
      <c r="A305" s="5">
        <v>0</v>
      </c>
      <c r="B305" s="6" t="s">
        <v>1812</v>
      </c>
      <c r="C305" s="13">
        <v>2194.9</v>
      </c>
      <c r="D305" s="8" t="s">
        <v>1813</v>
      </c>
      <c r="E305" s="8" t="s">
        <v>1814</v>
      </c>
      <c r="F305" s="8" t="s">
        <v>1815</v>
      </c>
      <c r="G305" s="6" t="s">
        <v>58</v>
      </c>
      <c r="H305" s="6" t="s">
        <v>38</v>
      </c>
      <c r="I305" s="8"/>
      <c r="J305" s="9">
        <v>1</v>
      </c>
      <c r="K305" s="9">
        <v>688</v>
      </c>
      <c r="L305" s="9">
        <v>2019</v>
      </c>
      <c r="M305" s="8" t="s">
        <v>1816</v>
      </c>
      <c r="N305" s="8" t="s">
        <v>40</v>
      </c>
      <c r="O305" s="8" t="s">
        <v>41</v>
      </c>
      <c r="P305" s="6" t="s">
        <v>42</v>
      </c>
      <c r="Q305" s="8" t="s">
        <v>296</v>
      </c>
      <c r="R305" s="10" t="s">
        <v>1625</v>
      </c>
      <c r="S305" s="11"/>
      <c r="T305" s="6"/>
      <c r="U305" s="28" t="str">
        <f>HYPERLINK("https://media.infra-m.ru/1006/1006922/cover/1006922.jpg", "Обложка")</f>
        <v>Обложка</v>
      </c>
      <c r="V305" s="28" t="str">
        <f>HYPERLINK("https://znanium.com/catalog/product/1006922", "Ознакомиться")</f>
        <v>Ознакомиться</v>
      </c>
      <c r="W305" s="8" t="s">
        <v>535</v>
      </c>
      <c r="X305" s="6"/>
      <c r="Y305" s="6"/>
      <c r="Z305" s="6"/>
      <c r="AA305" s="6" t="s">
        <v>298</v>
      </c>
    </row>
    <row r="306" spans="1:27" s="4" customFormat="1" ht="42" customHeight="1">
      <c r="A306" s="5">
        <v>0</v>
      </c>
      <c r="B306" s="6" t="s">
        <v>1817</v>
      </c>
      <c r="C306" s="13">
        <v>2145</v>
      </c>
      <c r="D306" s="8" t="s">
        <v>1818</v>
      </c>
      <c r="E306" s="8" t="s">
        <v>1819</v>
      </c>
      <c r="F306" s="8" t="s">
        <v>1549</v>
      </c>
      <c r="G306" s="6" t="s">
        <v>58</v>
      </c>
      <c r="H306" s="6" t="s">
        <v>38</v>
      </c>
      <c r="I306" s="8"/>
      <c r="J306" s="9">
        <v>1</v>
      </c>
      <c r="K306" s="9">
        <v>760</v>
      </c>
      <c r="L306" s="9">
        <v>2020</v>
      </c>
      <c r="M306" s="8" t="s">
        <v>1820</v>
      </c>
      <c r="N306" s="8" t="s">
        <v>40</v>
      </c>
      <c r="O306" s="8" t="s">
        <v>41</v>
      </c>
      <c r="P306" s="6" t="s">
        <v>42</v>
      </c>
      <c r="Q306" s="8" t="s">
        <v>43</v>
      </c>
      <c r="R306" s="10" t="s">
        <v>1339</v>
      </c>
      <c r="S306" s="11"/>
      <c r="T306" s="6"/>
      <c r="U306" s="28" t="str">
        <f>HYPERLINK("https://media.infra-m.ru/2004/2004451/cover/2004451.jpg", "Обложка")</f>
        <v>Обложка</v>
      </c>
      <c r="V306" s="28" t="str">
        <f>HYPERLINK("https://znanium.com/catalog/product/1185663", "Ознакомиться")</f>
        <v>Ознакомиться</v>
      </c>
      <c r="W306" s="8" t="s">
        <v>45</v>
      </c>
      <c r="X306" s="6"/>
      <c r="Y306" s="6"/>
      <c r="Z306" s="6"/>
      <c r="AA306" s="6" t="s">
        <v>115</v>
      </c>
    </row>
    <row r="307" spans="1:27" s="4" customFormat="1" ht="42" customHeight="1">
      <c r="A307" s="5">
        <v>0</v>
      </c>
      <c r="B307" s="6" t="s">
        <v>1821</v>
      </c>
      <c r="C307" s="13">
        <v>2469.9</v>
      </c>
      <c r="D307" s="8" t="s">
        <v>1822</v>
      </c>
      <c r="E307" s="8" t="s">
        <v>1814</v>
      </c>
      <c r="F307" s="8" t="s">
        <v>1823</v>
      </c>
      <c r="G307" s="6" t="s">
        <v>1824</v>
      </c>
      <c r="H307" s="6" t="s">
        <v>38</v>
      </c>
      <c r="I307" s="8"/>
      <c r="J307" s="9">
        <v>1</v>
      </c>
      <c r="K307" s="9">
        <v>712</v>
      </c>
      <c r="L307" s="9">
        <v>2019</v>
      </c>
      <c r="M307" s="8" t="s">
        <v>1825</v>
      </c>
      <c r="N307" s="8" t="s">
        <v>40</v>
      </c>
      <c r="O307" s="8" t="s">
        <v>41</v>
      </c>
      <c r="P307" s="6" t="s">
        <v>42</v>
      </c>
      <c r="Q307" s="8" t="s">
        <v>43</v>
      </c>
      <c r="R307" s="10" t="s">
        <v>69</v>
      </c>
      <c r="S307" s="11"/>
      <c r="T307" s="6"/>
      <c r="U307" s="28" t="str">
        <f>HYPERLINK("https://media.infra-m.ru/1077/1077648/cover/1077648.jpg", "Обложка")</f>
        <v>Обложка</v>
      </c>
      <c r="V307" s="28" t="str">
        <f>HYPERLINK("https://znanium.com/catalog/product/1185756", "Ознакомиться")</f>
        <v>Ознакомиться</v>
      </c>
      <c r="W307" s="8" t="s">
        <v>114</v>
      </c>
      <c r="X307" s="6"/>
      <c r="Y307" s="6"/>
      <c r="Z307" s="6"/>
      <c r="AA307" s="6" t="s">
        <v>79</v>
      </c>
    </row>
    <row r="308" spans="1:27" s="4" customFormat="1" ht="42" customHeight="1">
      <c r="A308" s="5">
        <v>0</v>
      </c>
      <c r="B308" s="6" t="s">
        <v>1826</v>
      </c>
      <c r="C308" s="13">
        <v>2190</v>
      </c>
      <c r="D308" s="8" t="s">
        <v>1827</v>
      </c>
      <c r="E308" s="8" t="s">
        <v>1814</v>
      </c>
      <c r="F308" s="8" t="s">
        <v>1828</v>
      </c>
      <c r="G308" s="6" t="s">
        <v>37</v>
      </c>
      <c r="H308" s="6" t="s">
        <v>84</v>
      </c>
      <c r="I308" s="8" t="s">
        <v>998</v>
      </c>
      <c r="J308" s="9">
        <v>1</v>
      </c>
      <c r="K308" s="9">
        <v>491</v>
      </c>
      <c r="L308" s="9">
        <v>2023</v>
      </c>
      <c r="M308" s="8" t="s">
        <v>1829</v>
      </c>
      <c r="N308" s="8" t="s">
        <v>40</v>
      </c>
      <c r="O308" s="8" t="s">
        <v>41</v>
      </c>
      <c r="P308" s="6" t="s">
        <v>295</v>
      </c>
      <c r="Q308" s="8" t="s">
        <v>43</v>
      </c>
      <c r="R308" s="10" t="s">
        <v>69</v>
      </c>
      <c r="S308" s="11"/>
      <c r="T308" s="6"/>
      <c r="U308" s="28" t="str">
        <f>HYPERLINK("https://media.infra-m.ru/1896/1896462/cover/1896462.jpg", "Обложка")</f>
        <v>Обложка</v>
      </c>
      <c r="V308" s="28" t="str">
        <f>HYPERLINK("https://znanium.com/catalog/product/1896462", "Ознакомиться")</f>
        <v>Ознакомиться</v>
      </c>
      <c r="W308" s="8" t="s">
        <v>334</v>
      </c>
      <c r="X308" s="6"/>
      <c r="Y308" s="6"/>
      <c r="Z308" s="6"/>
      <c r="AA308" s="6" t="s">
        <v>343</v>
      </c>
    </row>
    <row r="309" spans="1:27" s="4" customFormat="1" ht="42" customHeight="1">
      <c r="A309" s="5">
        <v>0</v>
      </c>
      <c r="B309" s="6" t="s">
        <v>1830</v>
      </c>
      <c r="C309" s="7">
        <v>644.9</v>
      </c>
      <c r="D309" s="8" t="s">
        <v>1831</v>
      </c>
      <c r="E309" s="8" t="s">
        <v>1832</v>
      </c>
      <c r="F309" s="8" t="s">
        <v>1833</v>
      </c>
      <c r="G309" s="6" t="s">
        <v>58</v>
      </c>
      <c r="H309" s="6" t="s">
        <v>400</v>
      </c>
      <c r="I309" s="8"/>
      <c r="J309" s="9">
        <v>1</v>
      </c>
      <c r="K309" s="9">
        <v>768</v>
      </c>
      <c r="L309" s="9">
        <v>2020</v>
      </c>
      <c r="M309" s="8" t="s">
        <v>1834</v>
      </c>
      <c r="N309" s="8" t="s">
        <v>40</v>
      </c>
      <c r="O309" s="8" t="s">
        <v>41</v>
      </c>
      <c r="P309" s="6" t="s">
        <v>42</v>
      </c>
      <c r="Q309" s="8" t="s">
        <v>43</v>
      </c>
      <c r="R309" s="10" t="s">
        <v>304</v>
      </c>
      <c r="S309" s="11"/>
      <c r="T309" s="6"/>
      <c r="U309" s="28" t="str">
        <f>HYPERLINK("https://media.infra-m.ru/1017/1017317/cover/1017317.jpg", "Обложка")</f>
        <v>Обложка</v>
      </c>
      <c r="V309" s="12"/>
      <c r="W309" s="8" t="s">
        <v>692</v>
      </c>
      <c r="X309" s="6"/>
      <c r="Y309" s="6"/>
      <c r="Z309" s="6"/>
      <c r="AA309" s="6" t="s">
        <v>706</v>
      </c>
    </row>
    <row r="310" spans="1:27" s="4" customFormat="1" ht="42" customHeight="1">
      <c r="A310" s="5">
        <v>0</v>
      </c>
      <c r="B310" s="6" t="s">
        <v>1835</v>
      </c>
      <c r="C310" s="13">
        <v>2794</v>
      </c>
      <c r="D310" s="8" t="s">
        <v>1836</v>
      </c>
      <c r="E310" s="8" t="s">
        <v>1832</v>
      </c>
      <c r="F310" s="8" t="s">
        <v>1837</v>
      </c>
      <c r="G310" s="6" t="s">
        <v>58</v>
      </c>
      <c r="H310" s="6" t="s">
        <v>38</v>
      </c>
      <c r="I310" s="8"/>
      <c r="J310" s="9">
        <v>1</v>
      </c>
      <c r="K310" s="9">
        <v>608</v>
      </c>
      <c r="L310" s="9">
        <v>2024</v>
      </c>
      <c r="M310" s="8" t="s">
        <v>1838</v>
      </c>
      <c r="N310" s="8" t="s">
        <v>40</v>
      </c>
      <c r="O310" s="8" t="s">
        <v>41</v>
      </c>
      <c r="P310" s="6" t="s">
        <v>42</v>
      </c>
      <c r="Q310" s="8" t="s">
        <v>43</v>
      </c>
      <c r="R310" s="10" t="s">
        <v>113</v>
      </c>
      <c r="S310" s="11"/>
      <c r="T310" s="6"/>
      <c r="U310" s="28" t="str">
        <f>HYPERLINK("https://media.infra-m.ru/2101/2101453/cover/2101453.jpg", "Обложка")</f>
        <v>Обложка</v>
      </c>
      <c r="V310" s="28" t="str">
        <f>HYPERLINK("https://znanium.com/catalog/product/2094353", "Ознакомиться")</f>
        <v>Ознакомиться</v>
      </c>
      <c r="W310" s="8" t="s">
        <v>114</v>
      </c>
      <c r="X310" s="6"/>
      <c r="Y310" s="6"/>
      <c r="Z310" s="6"/>
      <c r="AA310" s="6" t="s">
        <v>148</v>
      </c>
    </row>
    <row r="311" spans="1:27" s="4" customFormat="1" ht="51.95" customHeight="1">
      <c r="A311" s="5">
        <v>0</v>
      </c>
      <c r="B311" s="6" t="s">
        <v>1839</v>
      </c>
      <c r="C311" s="13">
        <v>1649.9</v>
      </c>
      <c r="D311" s="8" t="s">
        <v>1840</v>
      </c>
      <c r="E311" s="8" t="s">
        <v>1832</v>
      </c>
      <c r="F311" s="8" t="s">
        <v>1841</v>
      </c>
      <c r="G311" s="6" t="s">
        <v>58</v>
      </c>
      <c r="H311" s="6" t="s">
        <v>38</v>
      </c>
      <c r="I311" s="8"/>
      <c r="J311" s="9">
        <v>1</v>
      </c>
      <c r="K311" s="9">
        <v>600</v>
      </c>
      <c r="L311" s="9">
        <v>2021</v>
      </c>
      <c r="M311" s="8" t="s">
        <v>1842</v>
      </c>
      <c r="N311" s="8" t="s">
        <v>40</v>
      </c>
      <c r="O311" s="8" t="s">
        <v>41</v>
      </c>
      <c r="P311" s="6" t="s">
        <v>295</v>
      </c>
      <c r="Q311" s="8" t="s">
        <v>43</v>
      </c>
      <c r="R311" s="10" t="s">
        <v>473</v>
      </c>
      <c r="S311" s="11"/>
      <c r="T311" s="6"/>
      <c r="U311" s="28" t="str">
        <f>HYPERLINK("https://media.infra-m.ru/1209/1209181/cover/1209181.jpg", "Обложка")</f>
        <v>Обложка</v>
      </c>
      <c r="V311" s="28" t="str">
        <f>HYPERLINK("https://znanium.com/catalog/product/1138757", "Ознакомиться")</f>
        <v>Ознакомиться</v>
      </c>
      <c r="W311" s="8" t="s">
        <v>114</v>
      </c>
      <c r="X311" s="6"/>
      <c r="Y311" s="6"/>
      <c r="Z311" s="6"/>
      <c r="AA311" s="6" t="s">
        <v>62</v>
      </c>
    </row>
    <row r="312" spans="1:27" s="4" customFormat="1" ht="44.1" customHeight="1">
      <c r="A312" s="5">
        <v>0</v>
      </c>
      <c r="B312" s="6" t="s">
        <v>1843</v>
      </c>
      <c r="C312" s="13">
        <v>1620</v>
      </c>
      <c r="D312" s="8" t="s">
        <v>1844</v>
      </c>
      <c r="E312" s="8" t="s">
        <v>1845</v>
      </c>
      <c r="F312" s="8" t="s">
        <v>1846</v>
      </c>
      <c r="G312" s="6" t="s">
        <v>37</v>
      </c>
      <c r="H312" s="6" t="s">
        <v>38</v>
      </c>
      <c r="I312" s="8"/>
      <c r="J312" s="9">
        <v>1</v>
      </c>
      <c r="K312" s="9">
        <v>416</v>
      </c>
      <c r="L312" s="9">
        <v>2022</v>
      </c>
      <c r="M312" s="8" t="s">
        <v>1847</v>
      </c>
      <c r="N312" s="8" t="s">
        <v>40</v>
      </c>
      <c r="O312" s="8" t="s">
        <v>41</v>
      </c>
      <c r="P312" s="6" t="s">
        <v>42</v>
      </c>
      <c r="Q312" s="8" t="s">
        <v>43</v>
      </c>
      <c r="R312" s="10" t="s">
        <v>304</v>
      </c>
      <c r="S312" s="11"/>
      <c r="T312" s="6"/>
      <c r="U312" s="28" t="str">
        <f>HYPERLINK("https://media.infra-m.ru/1858/1858195/cover/1858195.jpg", "Обложка")</f>
        <v>Обложка</v>
      </c>
      <c r="V312" s="28" t="str">
        <f>HYPERLINK("https://znanium.com/catalog/product/1858195", "Ознакомиться")</f>
        <v>Ознакомиться</v>
      </c>
      <c r="W312" s="8" t="s">
        <v>45</v>
      </c>
      <c r="X312" s="6"/>
      <c r="Y312" s="6"/>
      <c r="Z312" s="6"/>
      <c r="AA312" s="6" t="s">
        <v>79</v>
      </c>
    </row>
    <row r="313" spans="1:27" s="4" customFormat="1" ht="42" customHeight="1">
      <c r="A313" s="5">
        <v>0</v>
      </c>
      <c r="B313" s="6" t="s">
        <v>1848</v>
      </c>
      <c r="C313" s="7">
        <v>580</v>
      </c>
      <c r="D313" s="8" t="s">
        <v>1849</v>
      </c>
      <c r="E313" s="8" t="s">
        <v>1850</v>
      </c>
      <c r="F313" s="8" t="s">
        <v>1851</v>
      </c>
      <c r="G313" s="6" t="s">
        <v>37</v>
      </c>
      <c r="H313" s="6" t="s">
        <v>84</v>
      </c>
      <c r="I313" s="8" t="s">
        <v>251</v>
      </c>
      <c r="J313" s="9">
        <v>1</v>
      </c>
      <c r="K313" s="9">
        <v>152</v>
      </c>
      <c r="L313" s="9">
        <v>2022</v>
      </c>
      <c r="M313" s="8" t="s">
        <v>1852</v>
      </c>
      <c r="N313" s="8" t="s">
        <v>40</v>
      </c>
      <c r="O313" s="8" t="s">
        <v>41</v>
      </c>
      <c r="P313" s="6" t="s">
        <v>42</v>
      </c>
      <c r="Q313" s="8" t="s">
        <v>43</v>
      </c>
      <c r="R313" s="10" t="s">
        <v>1853</v>
      </c>
      <c r="S313" s="11"/>
      <c r="T313" s="6"/>
      <c r="U313" s="28" t="str">
        <f>HYPERLINK("https://media.infra-m.ru/1843/1843182/cover/1843182.jpg", "Обложка")</f>
        <v>Обложка</v>
      </c>
      <c r="V313" s="28" t="str">
        <f>HYPERLINK("https://znanium.com/catalog/product/1843182", "Ознакомиться")</f>
        <v>Ознакомиться</v>
      </c>
      <c r="W313" s="8"/>
      <c r="X313" s="6"/>
      <c r="Y313" s="6"/>
      <c r="Z313" s="6"/>
      <c r="AA313" s="6" t="s">
        <v>46</v>
      </c>
    </row>
    <row r="314" spans="1:27" s="4" customFormat="1" ht="51.95" customHeight="1">
      <c r="A314" s="5">
        <v>0</v>
      </c>
      <c r="B314" s="6" t="s">
        <v>1854</v>
      </c>
      <c r="C314" s="7">
        <v>830</v>
      </c>
      <c r="D314" s="8" t="s">
        <v>1855</v>
      </c>
      <c r="E314" s="8" t="s">
        <v>1856</v>
      </c>
      <c r="F314" s="8" t="s">
        <v>419</v>
      </c>
      <c r="G314" s="6" t="s">
        <v>51</v>
      </c>
      <c r="H314" s="6" t="s">
        <v>84</v>
      </c>
      <c r="I314" s="8" t="s">
        <v>251</v>
      </c>
      <c r="J314" s="9">
        <v>1</v>
      </c>
      <c r="K314" s="9">
        <v>183</v>
      </c>
      <c r="L314" s="9">
        <v>2023</v>
      </c>
      <c r="M314" s="8" t="s">
        <v>1857</v>
      </c>
      <c r="N314" s="8" t="s">
        <v>40</v>
      </c>
      <c r="O314" s="8" t="s">
        <v>41</v>
      </c>
      <c r="P314" s="6" t="s">
        <v>42</v>
      </c>
      <c r="Q314" s="8" t="s">
        <v>43</v>
      </c>
      <c r="R314" s="10" t="s">
        <v>1858</v>
      </c>
      <c r="S314" s="11"/>
      <c r="T314" s="6"/>
      <c r="U314" s="28" t="str">
        <f>HYPERLINK("https://media.infra-m.ru/1918/1918597/cover/1918597.jpg", "Обложка")</f>
        <v>Обложка</v>
      </c>
      <c r="V314" s="28" t="str">
        <f>HYPERLINK("https://znanium.com/catalog/product/1918597", "Ознакомиться")</f>
        <v>Ознакомиться</v>
      </c>
      <c r="W314" s="8" t="s">
        <v>421</v>
      </c>
      <c r="X314" s="6"/>
      <c r="Y314" s="6"/>
      <c r="Z314" s="6"/>
      <c r="AA314" s="6" t="s">
        <v>343</v>
      </c>
    </row>
    <row r="315" spans="1:27" s="4" customFormat="1" ht="44.1" customHeight="1">
      <c r="A315" s="5">
        <v>0</v>
      </c>
      <c r="B315" s="6" t="s">
        <v>1859</v>
      </c>
      <c r="C315" s="7">
        <v>970</v>
      </c>
      <c r="D315" s="8" t="s">
        <v>1860</v>
      </c>
      <c r="E315" s="8" t="s">
        <v>1861</v>
      </c>
      <c r="F315" s="8" t="s">
        <v>1862</v>
      </c>
      <c r="G315" s="6" t="s">
        <v>51</v>
      </c>
      <c r="H315" s="6" t="s">
        <v>38</v>
      </c>
      <c r="I315" s="8"/>
      <c r="J315" s="9">
        <v>1</v>
      </c>
      <c r="K315" s="9">
        <v>208</v>
      </c>
      <c r="L315" s="9">
        <v>2023</v>
      </c>
      <c r="M315" s="8" t="s">
        <v>1863</v>
      </c>
      <c r="N315" s="8" t="s">
        <v>40</v>
      </c>
      <c r="O315" s="8" t="s">
        <v>41</v>
      </c>
      <c r="P315" s="6" t="s">
        <v>42</v>
      </c>
      <c r="Q315" s="8" t="s">
        <v>296</v>
      </c>
      <c r="R315" s="10" t="s">
        <v>776</v>
      </c>
      <c r="S315" s="11"/>
      <c r="T315" s="6"/>
      <c r="U315" s="28" t="str">
        <f>HYPERLINK("https://media.infra-m.ru/2038/2038317/cover/2038317.jpg", "Обложка")</f>
        <v>Обложка</v>
      </c>
      <c r="V315" s="28" t="str">
        <f>HYPERLINK("https://znanium.com/catalog/product/2038317", "Ознакомиться")</f>
        <v>Ознакомиться</v>
      </c>
      <c r="W315" s="8" t="s">
        <v>1864</v>
      </c>
      <c r="X315" s="6"/>
      <c r="Y315" s="6"/>
      <c r="Z315" s="6"/>
      <c r="AA315" s="6" t="s">
        <v>88</v>
      </c>
    </row>
    <row r="316" spans="1:27" s="4" customFormat="1" ht="42" customHeight="1">
      <c r="A316" s="5">
        <v>0</v>
      </c>
      <c r="B316" s="6" t="s">
        <v>1865</v>
      </c>
      <c r="C316" s="7">
        <v>880</v>
      </c>
      <c r="D316" s="8" t="s">
        <v>1866</v>
      </c>
      <c r="E316" s="8" t="s">
        <v>1867</v>
      </c>
      <c r="F316" s="8" t="s">
        <v>1868</v>
      </c>
      <c r="G316" s="6" t="s">
        <v>51</v>
      </c>
      <c r="H316" s="6" t="s">
        <v>52</v>
      </c>
      <c r="I316" s="8" t="s">
        <v>251</v>
      </c>
      <c r="J316" s="9">
        <v>1</v>
      </c>
      <c r="K316" s="9">
        <v>230</v>
      </c>
      <c r="L316" s="9">
        <v>2022</v>
      </c>
      <c r="M316" s="8" t="s">
        <v>1869</v>
      </c>
      <c r="N316" s="8" t="s">
        <v>40</v>
      </c>
      <c r="O316" s="8" t="s">
        <v>41</v>
      </c>
      <c r="P316" s="6" t="s">
        <v>42</v>
      </c>
      <c r="Q316" s="8" t="s">
        <v>43</v>
      </c>
      <c r="R316" s="10" t="s">
        <v>69</v>
      </c>
      <c r="S316" s="11"/>
      <c r="T316" s="6"/>
      <c r="U316" s="28" t="str">
        <f>HYPERLINK("https://media.infra-m.ru/1843/1843829/cover/1843829.jpg", "Обложка")</f>
        <v>Обложка</v>
      </c>
      <c r="V316" s="12"/>
      <c r="W316" s="8" t="s">
        <v>458</v>
      </c>
      <c r="X316" s="6"/>
      <c r="Y316" s="6"/>
      <c r="Z316" s="6"/>
      <c r="AA316" s="6" t="s">
        <v>79</v>
      </c>
    </row>
    <row r="317" spans="1:27" s="4" customFormat="1" ht="51.95" customHeight="1">
      <c r="A317" s="5">
        <v>0</v>
      </c>
      <c r="B317" s="6" t="s">
        <v>1870</v>
      </c>
      <c r="C317" s="13">
        <v>1220</v>
      </c>
      <c r="D317" s="8" t="s">
        <v>1871</v>
      </c>
      <c r="E317" s="8" t="s">
        <v>1872</v>
      </c>
      <c r="F317" s="8" t="s">
        <v>1873</v>
      </c>
      <c r="G317" s="6" t="s">
        <v>37</v>
      </c>
      <c r="H317" s="6" t="s">
        <v>38</v>
      </c>
      <c r="I317" s="8"/>
      <c r="J317" s="9">
        <v>1</v>
      </c>
      <c r="K317" s="9">
        <v>272</v>
      </c>
      <c r="L317" s="9">
        <v>2022</v>
      </c>
      <c r="M317" s="8" t="s">
        <v>1874</v>
      </c>
      <c r="N317" s="8" t="s">
        <v>40</v>
      </c>
      <c r="O317" s="8" t="s">
        <v>41</v>
      </c>
      <c r="P317" s="6" t="s">
        <v>42</v>
      </c>
      <c r="Q317" s="8" t="s">
        <v>43</v>
      </c>
      <c r="R317" s="10" t="s">
        <v>1875</v>
      </c>
      <c r="S317" s="11"/>
      <c r="T317" s="6"/>
      <c r="U317" s="28" t="str">
        <f>HYPERLINK("https://media.infra-m.ru/1938/1938065/cover/1938065.jpg", "Обложка")</f>
        <v>Обложка</v>
      </c>
      <c r="V317" s="28" t="str">
        <f>HYPERLINK("https://znanium.com/catalog/product/1938065", "Ознакомиться")</f>
        <v>Ознакомиться</v>
      </c>
      <c r="W317" s="8" t="s">
        <v>78</v>
      </c>
      <c r="X317" s="6"/>
      <c r="Y317" s="6"/>
      <c r="Z317" s="6"/>
      <c r="AA317" s="6" t="s">
        <v>115</v>
      </c>
    </row>
    <row r="318" spans="1:27" s="4" customFormat="1" ht="51.95" customHeight="1">
      <c r="A318" s="5">
        <v>0</v>
      </c>
      <c r="B318" s="6" t="s">
        <v>1876</v>
      </c>
      <c r="C318" s="7">
        <v>960</v>
      </c>
      <c r="D318" s="8" t="s">
        <v>1877</v>
      </c>
      <c r="E318" s="8" t="s">
        <v>1878</v>
      </c>
      <c r="F318" s="8" t="s">
        <v>1879</v>
      </c>
      <c r="G318" s="6" t="s">
        <v>37</v>
      </c>
      <c r="H318" s="6" t="s">
        <v>84</v>
      </c>
      <c r="I318" s="8" t="s">
        <v>85</v>
      </c>
      <c r="J318" s="9">
        <v>1</v>
      </c>
      <c r="K318" s="9">
        <v>248</v>
      </c>
      <c r="L318" s="9">
        <v>2022</v>
      </c>
      <c r="M318" s="8" t="s">
        <v>1880</v>
      </c>
      <c r="N318" s="8" t="s">
        <v>40</v>
      </c>
      <c r="O318" s="8" t="s">
        <v>41</v>
      </c>
      <c r="P318" s="6" t="s">
        <v>42</v>
      </c>
      <c r="Q318" s="8" t="s">
        <v>43</v>
      </c>
      <c r="R318" s="10" t="s">
        <v>1881</v>
      </c>
      <c r="S318" s="11"/>
      <c r="T318" s="6"/>
      <c r="U318" s="28" t="str">
        <f>HYPERLINK("https://media.infra-m.ru/1859/1859025/cover/1859025.jpg", "Обложка")</f>
        <v>Обложка</v>
      </c>
      <c r="V318" s="28" t="str">
        <f>HYPERLINK("https://znanium.com/catalog/product/1859025", "Ознакомиться")</f>
        <v>Ознакомиться</v>
      </c>
      <c r="W318" s="8" t="s">
        <v>45</v>
      </c>
      <c r="X318" s="6"/>
      <c r="Y318" s="6"/>
      <c r="Z318" s="6"/>
      <c r="AA318" s="6" t="s">
        <v>148</v>
      </c>
    </row>
    <row r="319" spans="1:27" s="4" customFormat="1" ht="44.1" customHeight="1">
      <c r="A319" s="5">
        <v>0</v>
      </c>
      <c r="B319" s="6" t="s">
        <v>1882</v>
      </c>
      <c r="C319" s="13">
        <v>1194.9000000000001</v>
      </c>
      <c r="D319" s="8" t="s">
        <v>1883</v>
      </c>
      <c r="E319" s="8" t="s">
        <v>1884</v>
      </c>
      <c r="F319" s="8" t="s">
        <v>1885</v>
      </c>
      <c r="G319" s="6" t="s">
        <v>51</v>
      </c>
      <c r="H319" s="6" t="s">
        <v>84</v>
      </c>
      <c r="I319" s="8" t="s">
        <v>998</v>
      </c>
      <c r="J319" s="9">
        <v>1</v>
      </c>
      <c r="K319" s="9">
        <v>265</v>
      </c>
      <c r="L319" s="9">
        <v>2023</v>
      </c>
      <c r="M319" s="8" t="s">
        <v>1886</v>
      </c>
      <c r="N319" s="8" t="s">
        <v>40</v>
      </c>
      <c r="O319" s="8" t="s">
        <v>41</v>
      </c>
      <c r="P319" s="6" t="s">
        <v>42</v>
      </c>
      <c r="Q319" s="8" t="s">
        <v>43</v>
      </c>
      <c r="R319" s="10" t="s">
        <v>1887</v>
      </c>
      <c r="S319" s="11"/>
      <c r="T319" s="6"/>
      <c r="U319" s="28" t="str">
        <f>HYPERLINK("https://media.infra-m.ru/2045/2045906/cover/2045906.jpg", "Обложка")</f>
        <v>Обложка</v>
      </c>
      <c r="V319" s="28" t="str">
        <f>HYPERLINK("https://znanium.com/catalog/product/1039414", "Ознакомиться")</f>
        <v>Ознакомиться</v>
      </c>
      <c r="W319" s="8" t="s">
        <v>334</v>
      </c>
      <c r="X319" s="6"/>
      <c r="Y319" s="6"/>
      <c r="Z319" s="6"/>
      <c r="AA319" s="6" t="s">
        <v>115</v>
      </c>
    </row>
    <row r="320" spans="1:27" s="4" customFormat="1" ht="44.1" customHeight="1">
      <c r="A320" s="5">
        <v>0</v>
      </c>
      <c r="B320" s="6" t="s">
        <v>1888</v>
      </c>
      <c r="C320" s="7">
        <v>874.9</v>
      </c>
      <c r="D320" s="8" t="s">
        <v>1889</v>
      </c>
      <c r="E320" s="8" t="s">
        <v>1890</v>
      </c>
      <c r="F320" s="8" t="s">
        <v>1891</v>
      </c>
      <c r="G320" s="6" t="s">
        <v>58</v>
      </c>
      <c r="H320" s="6" t="s">
        <v>84</v>
      </c>
      <c r="I320" s="8" t="s">
        <v>251</v>
      </c>
      <c r="J320" s="9">
        <v>1</v>
      </c>
      <c r="K320" s="9">
        <v>251</v>
      </c>
      <c r="L320" s="9">
        <v>2020</v>
      </c>
      <c r="M320" s="8" t="s">
        <v>1892</v>
      </c>
      <c r="N320" s="8" t="s">
        <v>40</v>
      </c>
      <c r="O320" s="8" t="s">
        <v>41</v>
      </c>
      <c r="P320" s="6" t="s">
        <v>42</v>
      </c>
      <c r="Q320" s="8" t="s">
        <v>43</v>
      </c>
      <c r="R320" s="10" t="s">
        <v>1893</v>
      </c>
      <c r="S320" s="11"/>
      <c r="T320" s="6"/>
      <c r="U320" s="28" t="str">
        <f>HYPERLINK("https://media.infra-m.ru/1045/1045756/cover/1045756.jpg", "Обложка")</f>
        <v>Обложка</v>
      </c>
      <c r="V320" s="28" t="str">
        <f>HYPERLINK("https://znanium.com/catalog/product/924452", "Ознакомиться")</f>
        <v>Ознакомиться</v>
      </c>
      <c r="W320" s="8" t="s">
        <v>1894</v>
      </c>
      <c r="X320" s="6"/>
      <c r="Y320" s="6"/>
      <c r="Z320" s="6"/>
      <c r="AA320" s="6" t="s">
        <v>46</v>
      </c>
    </row>
    <row r="321" spans="1:27" s="4" customFormat="1" ht="51.95" customHeight="1">
      <c r="A321" s="5">
        <v>0</v>
      </c>
      <c r="B321" s="6" t="s">
        <v>1895</v>
      </c>
      <c r="C321" s="7">
        <v>374.9</v>
      </c>
      <c r="D321" s="8" t="s">
        <v>1896</v>
      </c>
      <c r="E321" s="8" t="s">
        <v>1897</v>
      </c>
      <c r="F321" s="8" t="s">
        <v>1898</v>
      </c>
      <c r="G321" s="6" t="s">
        <v>51</v>
      </c>
      <c r="H321" s="6" t="s">
        <v>38</v>
      </c>
      <c r="I321" s="8"/>
      <c r="J321" s="9">
        <v>1</v>
      </c>
      <c r="K321" s="9">
        <v>112</v>
      </c>
      <c r="L321" s="9">
        <v>2020</v>
      </c>
      <c r="M321" s="8" t="s">
        <v>1899</v>
      </c>
      <c r="N321" s="8" t="s">
        <v>40</v>
      </c>
      <c r="O321" s="8" t="s">
        <v>41</v>
      </c>
      <c r="P321" s="6" t="s">
        <v>75</v>
      </c>
      <c r="Q321" s="8" t="s">
        <v>76</v>
      </c>
      <c r="R321" s="10" t="s">
        <v>1900</v>
      </c>
      <c r="S321" s="11"/>
      <c r="T321" s="6"/>
      <c r="U321" s="28" t="str">
        <f>HYPERLINK("https://media.infra-m.ru/1091/1091372/cover/1091372.jpg", "Обложка")</f>
        <v>Обложка</v>
      </c>
      <c r="V321" s="28" t="str">
        <f>HYPERLINK("https://znanium.com/catalog/product/1047694", "Ознакомиться")</f>
        <v>Ознакомиться</v>
      </c>
      <c r="W321" s="8" t="s">
        <v>114</v>
      </c>
      <c r="X321" s="6"/>
      <c r="Y321" s="6"/>
      <c r="Z321" s="6"/>
      <c r="AA321" s="6" t="s">
        <v>422</v>
      </c>
    </row>
    <row r="322" spans="1:27" s="4" customFormat="1" ht="44.1" customHeight="1">
      <c r="A322" s="5">
        <v>0</v>
      </c>
      <c r="B322" s="6" t="s">
        <v>1901</v>
      </c>
      <c r="C322" s="7">
        <v>384.9</v>
      </c>
      <c r="D322" s="8" t="s">
        <v>1902</v>
      </c>
      <c r="E322" s="8" t="s">
        <v>1903</v>
      </c>
      <c r="F322" s="8" t="s">
        <v>1904</v>
      </c>
      <c r="G322" s="6" t="s">
        <v>51</v>
      </c>
      <c r="H322" s="6" t="s">
        <v>38</v>
      </c>
      <c r="I322" s="8"/>
      <c r="J322" s="9">
        <v>70</v>
      </c>
      <c r="K322" s="9">
        <v>112</v>
      </c>
      <c r="L322" s="9">
        <v>2019</v>
      </c>
      <c r="M322" s="8" t="s">
        <v>1905</v>
      </c>
      <c r="N322" s="8" t="s">
        <v>40</v>
      </c>
      <c r="O322" s="8" t="s">
        <v>41</v>
      </c>
      <c r="P322" s="6" t="s">
        <v>42</v>
      </c>
      <c r="Q322" s="8" t="s">
        <v>296</v>
      </c>
      <c r="R322" s="10" t="s">
        <v>896</v>
      </c>
      <c r="S322" s="11"/>
      <c r="T322" s="6"/>
      <c r="U322" s="28" t="str">
        <f>HYPERLINK("https://media.infra-m.ru/1009/1009273/cover/1009273.jpg", "Обложка")</f>
        <v>Обложка</v>
      </c>
      <c r="V322" s="28" t="str">
        <f>HYPERLINK("https://znanium.com/catalog/product/1009273", "Ознакомиться")</f>
        <v>Ознакомиться</v>
      </c>
      <c r="W322" s="8" t="s">
        <v>114</v>
      </c>
      <c r="X322" s="6"/>
      <c r="Y322" s="6"/>
      <c r="Z322" s="6"/>
      <c r="AA322" s="6" t="s">
        <v>422</v>
      </c>
    </row>
    <row r="323" spans="1:27" s="4" customFormat="1" ht="51.95" customHeight="1">
      <c r="A323" s="5">
        <v>0</v>
      </c>
      <c r="B323" s="6" t="s">
        <v>1906</v>
      </c>
      <c r="C323" s="13">
        <v>1184.9000000000001</v>
      </c>
      <c r="D323" s="8" t="s">
        <v>1907</v>
      </c>
      <c r="E323" s="8" t="s">
        <v>1908</v>
      </c>
      <c r="F323" s="8" t="s">
        <v>1909</v>
      </c>
      <c r="G323" s="6" t="s">
        <v>37</v>
      </c>
      <c r="H323" s="6" t="s">
        <v>38</v>
      </c>
      <c r="I323" s="8"/>
      <c r="J323" s="9">
        <v>1</v>
      </c>
      <c r="K323" s="9">
        <v>264</v>
      </c>
      <c r="L323" s="9">
        <v>2023</v>
      </c>
      <c r="M323" s="8" t="s">
        <v>1910</v>
      </c>
      <c r="N323" s="8" t="s">
        <v>40</v>
      </c>
      <c r="O323" s="8" t="s">
        <v>41</v>
      </c>
      <c r="P323" s="6" t="s">
        <v>42</v>
      </c>
      <c r="Q323" s="8" t="s">
        <v>43</v>
      </c>
      <c r="R323" s="10" t="s">
        <v>1911</v>
      </c>
      <c r="S323" s="11"/>
      <c r="T323" s="6"/>
      <c r="U323" s="28" t="str">
        <f>HYPERLINK("https://media.infra-m.ru/1895/1895646/cover/1895646.jpg", "Обложка")</f>
        <v>Обложка</v>
      </c>
      <c r="V323" s="28" t="str">
        <f>HYPERLINK("https://znanium.com/catalog/product/1895646", "Ознакомиться")</f>
        <v>Ознакомиться</v>
      </c>
      <c r="W323" s="8" t="s">
        <v>78</v>
      </c>
      <c r="X323" s="6"/>
      <c r="Y323" s="6"/>
      <c r="Z323" s="6"/>
      <c r="AA323" s="6" t="s">
        <v>115</v>
      </c>
    </row>
    <row r="324" spans="1:27" s="4" customFormat="1" ht="51.95" customHeight="1">
      <c r="A324" s="5">
        <v>0</v>
      </c>
      <c r="B324" s="6" t="s">
        <v>1912</v>
      </c>
      <c r="C324" s="13">
        <v>2870</v>
      </c>
      <c r="D324" s="8" t="s">
        <v>1913</v>
      </c>
      <c r="E324" s="8" t="s">
        <v>1914</v>
      </c>
      <c r="F324" s="8" t="s">
        <v>1915</v>
      </c>
      <c r="G324" s="6" t="s">
        <v>58</v>
      </c>
      <c r="H324" s="6" t="s">
        <v>1916</v>
      </c>
      <c r="I324" s="8"/>
      <c r="J324" s="9">
        <v>1</v>
      </c>
      <c r="K324" s="9">
        <v>624</v>
      </c>
      <c r="L324" s="9">
        <v>2024</v>
      </c>
      <c r="M324" s="8" t="s">
        <v>1917</v>
      </c>
      <c r="N324" s="8" t="s">
        <v>40</v>
      </c>
      <c r="O324" s="8" t="s">
        <v>41</v>
      </c>
      <c r="P324" s="6" t="s">
        <v>42</v>
      </c>
      <c r="Q324" s="8" t="s">
        <v>1660</v>
      </c>
      <c r="R324" s="10" t="s">
        <v>1918</v>
      </c>
      <c r="S324" s="11"/>
      <c r="T324" s="6" t="s">
        <v>368</v>
      </c>
      <c r="U324" s="28" t="str">
        <f>HYPERLINK("https://media.infra-m.ru/2117/2117166/cover/2117166.jpg", "Обложка")</f>
        <v>Обложка</v>
      </c>
      <c r="V324" s="28" t="str">
        <f>HYPERLINK("https://znanium.com/catalog/product/2117166", "Ознакомиться")</f>
        <v>Ознакомиться</v>
      </c>
      <c r="W324" s="8" t="s">
        <v>1482</v>
      </c>
      <c r="X324" s="6"/>
      <c r="Y324" s="6"/>
      <c r="Z324" s="6"/>
      <c r="AA324" s="6" t="s">
        <v>62</v>
      </c>
    </row>
    <row r="325" spans="1:27" s="4" customFormat="1" ht="44.1" customHeight="1">
      <c r="A325" s="5">
        <v>0</v>
      </c>
      <c r="B325" s="6" t="s">
        <v>1919</v>
      </c>
      <c r="C325" s="7">
        <v>900</v>
      </c>
      <c r="D325" s="8" t="s">
        <v>1920</v>
      </c>
      <c r="E325" s="8" t="s">
        <v>1921</v>
      </c>
      <c r="F325" s="8" t="s">
        <v>1922</v>
      </c>
      <c r="G325" s="6" t="s">
        <v>51</v>
      </c>
      <c r="H325" s="6" t="s">
        <v>84</v>
      </c>
      <c r="I325" s="8" t="s">
        <v>251</v>
      </c>
      <c r="J325" s="9">
        <v>1</v>
      </c>
      <c r="K325" s="9">
        <v>207</v>
      </c>
      <c r="L325" s="9">
        <v>2022</v>
      </c>
      <c r="M325" s="8" t="s">
        <v>1923</v>
      </c>
      <c r="N325" s="8" t="s">
        <v>40</v>
      </c>
      <c r="O325" s="8" t="s">
        <v>41</v>
      </c>
      <c r="P325" s="6" t="s">
        <v>42</v>
      </c>
      <c r="Q325" s="8" t="s">
        <v>43</v>
      </c>
      <c r="R325" s="10" t="s">
        <v>1924</v>
      </c>
      <c r="S325" s="11"/>
      <c r="T325" s="6"/>
      <c r="U325" s="28" t="str">
        <f>HYPERLINK("https://media.infra-m.ru/1858/1858258/cover/1858258.jpg", "Обложка")</f>
        <v>Обложка</v>
      </c>
      <c r="V325" s="28" t="str">
        <f>HYPERLINK("https://znanium.com/catalog/product/1858258", "Ознакомиться")</f>
        <v>Ознакомиться</v>
      </c>
      <c r="W325" s="8" t="s">
        <v>813</v>
      </c>
      <c r="X325" s="6"/>
      <c r="Y325" s="6"/>
      <c r="Z325" s="6"/>
      <c r="AA325" s="6" t="s">
        <v>343</v>
      </c>
    </row>
    <row r="326" spans="1:27" s="4" customFormat="1" ht="42" customHeight="1">
      <c r="A326" s="5">
        <v>0</v>
      </c>
      <c r="B326" s="6" t="s">
        <v>1925</v>
      </c>
      <c r="C326" s="13">
        <v>2234</v>
      </c>
      <c r="D326" s="8" t="s">
        <v>1926</v>
      </c>
      <c r="E326" s="8" t="s">
        <v>1927</v>
      </c>
      <c r="F326" s="8" t="s">
        <v>1928</v>
      </c>
      <c r="G326" s="6" t="s">
        <v>58</v>
      </c>
      <c r="H326" s="6" t="s">
        <v>38</v>
      </c>
      <c r="I326" s="8"/>
      <c r="J326" s="9">
        <v>1</v>
      </c>
      <c r="K326" s="9">
        <v>496</v>
      </c>
      <c r="L326" s="9">
        <v>2023</v>
      </c>
      <c r="M326" s="8" t="s">
        <v>1929</v>
      </c>
      <c r="N326" s="8" t="s">
        <v>40</v>
      </c>
      <c r="O326" s="8" t="s">
        <v>41</v>
      </c>
      <c r="P326" s="6" t="s">
        <v>75</v>
      </c>
      <c r="Q326" s="8" t="s">
        <v>76</v>
      </c>
      <c r="R326" s="10" t="s">
        <v>113</v>
      </c>
      <c r="S326" s="11"/>
      <c r="T326" s="6"/>
      <c r="U326" s="28" t="str">
        <f>HYPERLINK("https://media.infra-m.ru/1993/1993480/cover/1993480.jpg", "Обложка")</f>
        <v>Обложка</v>
      </c>
      <c r="V326" s="28" t="str">
        <f>HYPERLINK("https://znanium.com/catalog/product/1303015", "Ознакомиться")</f>
        <v>Ознакомиться</v>
      </c>
      <c r="W326" s="8" t="s">
        <v>114</v>
      </c>
      <c r="X326" s="6"/>
      <c r="Y326" s="6"/>
      <c r="Z326" s="6"/>
      <c r="AA326" s="6" t="s">
        <v>62</v>
      </c>
    </row>
    <row r="327" spans="1:27" s="4" customFormat="1" ht="42" customHeight="1">
      <c r="A327" s="5">
        <v>0</v>
      </c>
      <c r="B327" s="6" t="s">
        <v>1930</v>
      </c>
      <c r="C327" s="13">
        <v>1270</v>
      </c>
      <c r="D327" s="8" t="s">
        <v>1931</v>
      </c>
      <c r="E327" s="8" t="s">
        <v>1932</v>
      </c>
      <c r="F327" s="8" t="s">
        <v>1933</v>
      </c>
      <c r="G327" s="6" t="s">
        <v>51</v>
      </c>
      <c r="H327" s="6" t="s">
        <v>84</v>
      </c>
      <c r="I327" s="8" t="s">
        <v>251</v>
      </c>
      <c r="J327" s="9">
        <v>1</v>
      </c>
      <c r="K327" s="9">
        <v>282</v>
      </c>
      <c r="L327" s="9">
        <v>2023</v>
      </c>
      <c r="M327" s="8" t="s">
        <v>1934</v>
      </c>
      <c r="N327" s="8" t="s">
        <v>40</v>
      </c>
      <c r="O327" s="8" t="s">
        <v>41</v>
      </c>
      <c r="P327" s="6" t="s">
        <v>42</v>
      </c>
      <c r="Q327" s="8" t="s">
        <v>43</v>
      </c>
      <c r="R327" s="10" t="s">
        <v>1339</v>
      </c>
      <c r="S327" s="11"/>
      <c r="T327" s="6"/>
      <c r="U327" s="28" t="str">
        <f>HYPERLINK("https://media.infra-m.ru/1905/1905627/cover/1905627.jpg", "Обложка")</f>
        <v>Обложка</v>
      </c>
      <c r="V327" s="28" t="str">
        <f>HYPERLINK("https://znanium.com/catalog/product/1905627", "Ознакомиться")</f>
        <v>Ознакомиться</v>
      </c>
      <c r="W327" s="8" t="s">
        <v>1935</v>
      </c>
      <c r="X327" s="6"/>
      <c r="Y327" s="6"/>
      <c r="Z327" s="6"/>
      <c r="AA327" s="6" t="s">
        <v>62</v>
      </c>
    </row>
    <row r="328" spans="1:27" s="4" customFormat="1" ht="51.95" customHeight="1">
      <c r="A328" s="5">
        <v>0</v>
      </c>
      <c r="B328" s="6" t="s">
        <v>1936</v>
      </c>
      <c r="C328" s="7">
        <v>250</v>
      </c>
      <c r="D328" s="8" t="s">
        <v>1937</v>
      </c>
      <c r="E328" s="8" t="s">
        <v>1938</v>
      </c>
      <c r="F328" s="8" t="s">
        <v>1939</v>
      </c>
      <c r="G328" s="6" t="s">
        <v>51</v>
      </c>
      <c r="H328" s="6" t="s">
        <v>84</v>
      </c>
      <c r="I328" s="8" t="s">
        <v>1214</v>
      </c>
      <c r="J328" s="9">
        <v>1</v>
      </c>
      <c r="K328" s="9">
        <v>95</v>
      </c>
      <c r="L328" s="9">
        <v>2018</v>
      </c>
      <c r="M328" s="8" t="s">
        <v>1940</v>
      </c>
      <c r="N328" s="8" t="s">
        <v>40</v>
      </c>
      <c r="O328" s="8" t="s">
        <v>41</v>
      </c>
      <c r="P328" s="6" t="s">
        <v>75</v>
      </c>
      <c r="Q328" s="8" t="s">
        <v>1199</v>
      </c>
      <c r="R328" s="10" t="s">
        <v>168</v>
      </c>
      <c r="S328" s="11"/>
      <c r="T328" s="6"/>
      <c r="U328" s="28" t="str">
        <f>HYPERLINK("https://media.infra-m.ru/0930/0930564/cover/930564.jpg", "Обложка")</f>
        <v>Обложка</v>
      </c>
      <c r="V328" s="28" t="str">
        <f>HYPERLINK("https://znanium.com/catalog/product/930564", "Ознакомиться")</f>
        <v>Ознакомиться</v>
      </c>
      <c r="W328" s="8" t="s">
        <v>503</v>
      </c>
      <c r="X328" s="6"/>
      <c r="Y328" s="6"/>
      <c r="Z328" s="6"/>
      <c r="AA328" s="6" t="s">
        <v>88</v>
      </c>
    </row>
    <row r="329" spans="1:27" s="4" customFormat="1" ht="51.95" customHeight="1">
      <c r="A329" s="5">
        <v>0</v>
      </c>
      <c r="B329" s="6" t="s">
        <v>1941</v>
      </c>
      <c r="C329" s="13">
        <v>1690</v>
      </c>
      <c r="D329" s="8" t="s">
        <v>1942</v>
      </c>
      <c r="E329" s="8" t="s">
        <v>1943</v>
      </c>
      <c r="F329" s="8" t="s">
        <v>111</v>
      </c>
      <c r="G329" s="6" t="s">
        <v>58</v>
      </c>
      <c r="H329" s="6" t="s">
        <v>38</v>
      </c>
      <c r="I329" s="8"/>
      <c r="J329" s="9">
        <v>1</v>
      </c>
      <c r="K329" s="9">
        <v>376</v>
      </c>
      <c r="L329" s="9">
        <v>2023</v>
      </c>
      <c r="M329" s="8" t="s">
        <v>1944</v>
      </c>
      <c r="N329" s="8" t="s">
        <v>40</v>
      </c>
      <c r="O329" s="8" t="s">
        <v>41</v>
      </c>
      <c r="P329" s="6" t="s">
        <v>42</v>
      </c>
      <c r="Q329" s="8" t="s">
        <v>43</v>
      </c>
      <c r="R329" s="10" t="s">
        <v>1945</v>
      </c>
      <c r="S329" s="11"/>
      <c r="T329" s="6"/>
      <c r="U329" s="28" t="str">
        <f>HYPERLINK("https://media.infra-m.ru/1983/1983246/cover/1983246.jpg", "Обложка")</f>
        <v>Обложка</v>
      </c>
      <c r="V329" s="28" t="str">
        <f>HYPERLINK("https://znanium.com/catalog/product/1983246", "Ознакомиться")</f>
        <v>Ознакомиться</v>
      </c>
      <c r="W329" s="8" t="s">
        <v>114</v>
      </c>
      <c r="X329" s="6" t="s">
        <v>645</v>
      </c>
      <c r="Y329" s="6"/>
      <c r="Z329" s="6"/>
      <c r="AA329" s="6" t="s">
        <v>408</v>
      </c>
    </row>
    <row r="330" spans="1:27" s="4" customFormat="1" ht="51.95" customHeight="1">
      <c r="A330" s="5">
        <v>0</v>
      </c>
      <c r="B330" s="6" t="s">
        <v>1946</v>
      </c>
      <c r="C330" s="13">
        <v>1290</v>
      </c>
      <c r="D330" s="8" t="s">
        <v>1947</v>
      </c>
      <c r="E330" s="8" t="s">
        <v>1948</v>
      </c>
      <c r="F330" s="8" t="s">
        <v>1684</v>
      </c>
      <c r="G330" s="6" t="s">
        <v>58</v>
      </c>
      <c r="H330" s="6" t="s">
        <v>84</v>
      </c>
      <c r="I330" s="8" t="s">
        <v>251</v>
      </c>
      <c r="J330" s="9">
        <v>1</v>
      </c>
      <c r="K330" s="9">
        <v>280</v>
      </c>
      <c r="L330" s="9">
        <v>2023</v>
      </c>
      <c r="M330" s="8" t="s">
        <v>1949</v>
      </c>
      <c r="N330" s="8" t="s">
        <v>40</v>
      </c>
      <c r="O330" s="8" t="s">
        <v>41</v>
      </c>
      <c r="P330" s="6" t="s">
        <v>42</v>
      </c>
      <c r="Q330" s="8" t="s">
        <v>43</v>
      </c>
      <c r="R330" s="10" t="s">
        <v>1950</v>
      </c>
      <c r="S330" s="11"/>
      <c r="T330" s="6"/>
      <c r="U330" s="28" t="str">
        <f>HYPERLINK("https://media.infra-m.ru/1915/1915941/cover/1915941.jpg", "Обложка")</f>
        <v>Обложка</v>
      </c>
      <c r="V330" s="28" t="str">
        <f>HYPERLINK("https://znanium.com/catalog/product/1915941", "Ознакомиться")</f>
        <v>Ознакомиться</v>
      </c>
      <c r="W330" s="8" t="s">
        <v>1686</v>
      </c>
      <c r="X330" s="6" t="s">
        <v>645</v>
      </c>
      <c r="Y330" s="6"/>
      <c r="Z330" s="6"/>
      <c r="AA330" s="6" t="s">
        <v>408</v>
      </c>
    </row>
    <row r="331" spans="1:27" s="4" customFormat="1" ht="51.95" customHeight="1">
      <c r="A331" s="5">
        <v>0</v>
      </c>
      <c r="B331" s="6" t="s">
        <v>1951</v>
      </c>
      <c r="C331" s="13">
        <v>2260</v>
      </c>
      <c r="D331" s="8" t="s">
        <v>1952</v>
      </c>
      <c r="E331" s="8" t="s">
        <v>1953</v>
      </c>
      <c r="F331" s="8" t="s">
        <v>1954</v>
      </c>
      <c r="G331" s="6" t="s">
        <v>37</v>
      </c>
      <c r="H331" s="6" t="s">
        <v>52</v>
      </c>
      <c r="I331" s="8" t="s">
        <v>185</v>
      </c>
      <c r="J331" s="9">
        <v>1</v>
      </c>
      <c r="K331" s="9">
        <v>504</v>
      </c>
      <c r="L331" s="9">
        <v>2022</v>
      </c>
      <c r="M331" s="8" t="s">
        <v>1955</v>
      </c>
      <c r="N331" s="8" t="s">
        <v>40</v>
      </c>
      <c r="O331" s="8" t="s">
        <v>41</v>
      </c>
      <c r="P331" s="6" t="s">
        <v>75</v>
      </c>
      <c r="Q331" s="8" t="s">
        <v>76</v>
      </c>
      <c r="R331" s="10" t="s">
        <v>122</v>
      </c>
      <c r="S331" s="11" t="s">
        <v>1956</v>
      </c>
      <c r="T331" s="6"/>
      <c r="U331" s="28" t="str">
        <f>HYPERLINK("https://media.infra-m.ru/1948/1948221/cover/1948221.jpg", "Обложка")</f>
        <v>Обложка</v>
      </c>
      <c r="V331" s="28" t="str">
        <f>HYPERLINK("https://znanium.com/catalog/product/1918542", "Ознакомиться")</f>
        <v>Ознакомиться</v>
      </c>
      <c r="W331" s="8" t="s">
        <v>1957</v>
      </c>
      <c r="X331" s="6"/>
      <c r="Y331" s="6"/>
      <c r="Z331" s="6"/>
      <c r="AA331" s="6" t="s">
        <v>422</v>
      </c>
    </row>
    <row r="332" spans="1:27" s="4" customFormat="1" ht="51.95" customHeight="1">
      <c r="A332" s="5">
        <v>0</v>
      </c>
      <c r="B332" s="6" t="s">
        <v>1958</v>
      </c>
      <c r="C332" s="13">
        <v>1440</v>
      </c>
      <c r="D332" s="8" t="s">
        <v>1959</v>
      </c>
      <c r="E332" s="8" t="s">
        <v>1953</v>
      </c>
      <c r="F332" s="8" t="s">
        <v>1960</v>
      </c>
      <c r="G332" s="6" t="s">
        <v>51</v>
      </c>
      <c r="H332" s="6" t="s">
        <v>400</v>
      </c>
      <c r="I332" s="8"/>
      <c r="J332" s="9">
        <v>1</v>
      </c>
      <c r="K332" s="9">
        <v>320</v>
      </c>
      <c r="L332" s="9">
        <v>2023</v>
      </c>
      <c r="M332" s="8" t="s">
        <v>1961</v>
      </c>
      <c r="N332" s="8" t="s">
        <v>40</v>
      </c>
      <c r="O332" s="8" t="s">
        <v>41</v>
      </c>
      <c r="P332" s="6" t="s">
        <v>1962</v>
      </c>
      <c r="Q332" s="8" t="s">
        <v>76</v>
      </c>
      <c r="R332" s="10" t="s">
        <v>122</v>
      </c>
      <c r="S332" s="11" t="s">
        <v>1963</v>
      </c>
      <c r="T332" s="6"/>
      <c r="U332" s="28" t="str">
        <f>HYPERLINK("https://media.infra-m.ru/1914/1914087/cover/1914087.jpg", "Обложка")</f>
        <v>Обложка</v>
      </c>
      <c r="V332" s="28" t="str">
        <f>HYPERLINK("https://znanium.com/catalog/product/1914087", "Ознакомиться")</f>
        <v>Ознакомиться</v>
      </c>
      <c r="W332" s="8" t="s">
        <v>712</v>
      </c>
      <c r="X332" s="6"/>
      <c r="Y332" s="6"/>
      <c r="Z332" s="6"/>
      <c r="AA332" s="6" t="s">
        <v>1964</v>
      </c>
    </row>
    <row r="333" spans="1:27" s="4" customFormat="1" ht="51.95" customHeight="1">
      <c r="A333" s="5">
        <v>0</v>
      </c>
      <c r="B333" s="6" t="s">
        <v>1965</v>
      </c>
      <c r="C333" s="13">
        <v>1480</v>
      </c>
      <c r="D333" s="8" t="s">
        <v>1966</v>
      </c>
      <c r="E333" s="8" t="s">
        <v>1967</v>
      </c>
      <c r="F333" s="8" t="s">
        <v>1968</v>
      </c>
      <c r="G333" s="6" t="s">
        <v>37</v>
      </c>
      <c r="H333" s="6" t="s">
        <v>38</v>
      </c>
      <c r="I333" s="8"/>
      <c r="J333" s="9">
        <v>1</v>
      </c>
      <c r="K333" s="9">
        <v>320</v>
      </c>
      <c r="L333" s="9">
        <v>2024</v>
      </c>
      <c r="M333" s="8" t="s">
        <v>1969</v>
      </c>
      <c r="N333" s="8" t="s">
        <v>40</v>
      </c>
      <c r="O333" s="8" t="s">
        <v>41</v>
      </c>
      <c r="P333" s="6" t="s">
        <v>75</v>
      </c>
      <c r="Q333" s="8" t="s">
        <v>76</v>
      </c>
      <c r="R333" s="10" t="s">
        <v>77</v>
      </c>
      <c r="S333" s="11"/>
      <c r="T333" s="6"/>
      <c r="U333" s="28" t="str">
        <f>HYPERLINK("https://media.infra-m.ru/2110/2110067/cover/2110067.jpg", "Обложка")</f>
        <v>Обложка</v>
      </c>
      <c r="V333" s="28" t="str">
        <f>HYPERLINK("https://znanium.com/catalog/product/2110067", "Ознакомиться")</f>
        <v>Ознакомиться</v>
      </c>
      <c r="W333" s="8" t="s">
        <v>414</v>
      </c>
      <c r="X333" s="6"/>
      <c r="Y333" s="6"/>
      <c r="Z333" s="6"/>
      <c r="AA333" s="6" t="s">
        <v>298</v>
      </c>
    </row>
    <row r="334" spans="1:27" s="4" customFormat="1" ht="51.95" customHeight="1">
      <c r="A334" s="5">
        <v>0</v>
      </c>
      <c r="B334" s="6" t="s">
        <v>1970</v>
      </c>
      <c r="C334" s="13">
        <v>2980</v>
      </c>
      <c r="D334" s="8" t="s">
        <v>1971</v>
      </c>
      <c r="E334" s="8" t="s">
        <v>1972</v>
      </c>
      <c r="F334" s="8" t="s">
        <v>1973</v>
      </c>
      <c r="G334" s="6" t="s">
        <v>37</v>
      </c>
      <c r="H334" s="6" t="s">
        <v>38</v>
      </c>
      <c r="I334" s="8"/>
      <c r="J334" s="9">
        <v>1</v>
      </c>
      <c r="K334" s="9">
        <v>720</v>
      </c>
      <c r="L334" s="9">
        <v>2023</v>
      </c>
      <c r="M334" s="8" t="s">
        <v>1974</v>
      </c>
      <c r="N334" s="8" t="s">
        <v>40</v>
      </c>
      <c r="O334" s="8" t="s">
        <v>41</v>
      </c>
      <c r="P334" s="6" t="s">
        <v>95</v>
      </c>
      <c r="Q334" s="8" t="s">
        <v>76</v>
      </c>
      <c r="R334" s="10" t="s">
        <v>122</v>
      </c>
      <c r="S334" s="11" t="s">
        <v>847</v>
      </c>
      <c r="T334" s="6"/>
      <c r="U334" s="28" t="str">
        <f>HYPERLINK("https://media.infra-m.ru/1983/1983257/cover/1983257.jpg", "Обложка")</f>
        <v>Обложка</v>
      </c>
      <c r="V334" s="28" t="str">
        <f>HYPERLINK("https://znanium.com/catalog/product/1983257", "Ознакомиться")</f>
        <v>Ознакомиться</v>
      </c>
      <c r="W334" s="8" t="s">
        <v>414</v>
      </c>
      <c r="X334" s="6"/>
      <c r="Y334" s="6"/>
      <c r="Z334" s="6"/>
      <c r="AA334" s="6" t="s">
        <v>1975</v>
      </c>
    </row>
    <row r="335" spans="1:27" s="4" customFormat="1" ht="51.95" customHeight="1">
      <c r="A335" s="5">
        <v>0</v>
      </c>
      <c r="B335" s="6" t="s">
        <v>1976</v>
      </c>
      <c r="C335" s="13">
        <v>1884.9</v>
      </c>
      <c r="D335" s="8" t="s">
        <v>1977</v>
      </c>
      <c r="E335" s="8" t="s">
        <v>1953</v>
      </c>
      <c r="F335" s="8" t="s">
        <v>840</v>
      </c>
      <c r="G335" s="6" t="s">
        <v>58</v>
      </c>
      <c r="H335" s="6" t="s">
        <v>400</v>
      </c>
      <c r="I335" s="8"/>
      <c r="J335" s="9">
        <v>1</v>
      </c>
      <c r="K335" s="9">
        <v>496</v>
      </c>
      <c r="L335" s="9">
        <v>2022</v>
      </c>
      <c r="M335" s="8" t="s">
        <v>1978</v>
      </c>
      <c r="N335" s="8" t="s">
        <v>40</v>
      </c>
      <c r="O335" s="8" t="s">
        <v>41</v>
      </c>
      <c r="P335" s="6" t="s">
        <v>1979</v>
      </c>
      <c r="Q335" s="8" t="s">
        <v>76</v>
      </c>
      <c r="R335" s="10" t="s">
        <v>452</v>
      </c>
      <c r="S335" s="11"/>
      <c r="T335" s="6"/>
      <c r="U335" s="28" t="str">
        <f>HYPERLINK("https://media.infra-m.ru/1836/1836612/cover/1836612.jpg", "Обложка")</f>
        <v>Обложка</v>
      </c>
      <c r="V335" s="28" t="str">
        <f>HYPERLINK("https://znanium.com/catalog/product/522403", "Ознакомиться")</f>
        <v>Ознакомиться</v>
      </c>
      <c r="W335" s="8" t="s">
        <v>726</v>
      </c>
      <c r="X335" s="6"/>
      <c r="Y335" s="6"/>
      <c r="Z335" s="6"/>
      <c r="AA335" s="6" t="s">
        <v>719</v>
      </c>
    </row>
    <row r="336" spans="1:27" s="4" customFormat="1" ht="51.95" customHeight="1">
      <c r="A336" s="5">
        <v>0</v>
      </c>
      <c r="B336" s="6" t="s">
        <v>1980</v>
      </c>
      <c r="C336" s="7">
        <v>224.9</v>
      </c>
      <c r="D336" s="8" t="s">
        <v>1981</v>
      </c>
      <c r="E336" s="8" t="s">
        <v>1953</v>
      </c>
      <c r="F336" s="8" t="s">
        <v>1982</v>
      </c>
      <c r="G336" s="6" t="s">
        <v>51</v>
      </c>
      <c r="H336" s="6" t="s">
        <v>52</v>
      </c>
      <c r="I336" s="8" t="s">
        <v>1983</v>
      </c>
      <c r="J336" s="9">
        <v>1</v>
      </c>
      <c r="K336" s="9">
        <v>112</v>
      </c>
      <c r="L336" s="9">
        <v>2019</v>
      </c>
      <c r="M336" s="8" t="s">
        <v>1984</v>
      </c>
      <c r="N336" s="8" t="s">
        <v>40</v>
      </c>
      <c r="O336" s="8" t="s">
        <v>41</v>
      </c>
      <c r="P336" s="6" t="s">
        <v>75</v>
      </c>
      <c r="Q336" s="8" t="s">
        <v>76</v>
      </c>
      <c r="R336" s="10" t="s">
        <v>122</v>
      </c>
      <c r="S336" s="11"/>
      <c r="T336" s="6"/>
      <c r="U336" s="28" t="str">
        <f>HYPERLINK("https://media.infra-m.ru/1012/1012704/cover/1012704.jpg", "Обложка")</f>
        <v>Обложка</v>
      </c>
      <c r="V336" s="28" t="str">
        <f>HYPERLINK("https://znanium.com/catalog/product/1012704", "Ознакомиться")</f>
        <v>Ознакомиться</v>
      </c>
      <c r="W336" s="8" t="s">
        <v>1985</v>
      </c>
      <c r="X336" s="6"/>
      <c r="Y336" s="6"/>
      <c r="Z336" s="6"/>
      <c r="AA336" s="6" t="s">
        <v>1964</v>
      </c>
    </row>
    <row r="337" spans="1:27" s="4" customFormat="1" ht="51.95" customHeight="1">
      <c r="A337" s="5">
        <v>0</v>
      </c>
      <c r="B337" s="6" t="s">
        <v>1986</v>
      </c>
      <c r="C337" s="13">
        <v>1340</v>
      </c>
      <c r="D337" s="8" t="s">
        <v>1987</v>
      </c>
      <c r="E337" s="8" t="s">
        <v>1988</v>
      </c>
      <c r="F337" s="8" t="s">
        <v>1989</v>
      </c>
      <c r="G337" s="6" t="s">
        <v>37</v>
      </c>
      <c r="H337" s="6" t="s">
        <v>84</v>
      </c>
      <c r="I337" s="8" t="s">
        <v>120</v>
      </c>
      <c r="J337" s="9">
        <v>1</v>
      </c>
      <c r="K337" s="9">
        <v>292</v>
      </c>
      <c r="L337" s="9">
        <v>2024</v>
      </c>
      <c r="M337" s="8" t="s">
        <v>1990</v>
      </c>
      <c r="N337" s="8" t="s">
        <v>40</v>
      </c>
      <c r="O337" s="8" t="s">
        <v>41</v>
      </c>
      <c r="P337" s="6" t="s">
        <v>1133</v>
      </c>
      <c r="Q337" s="8" t="s">
        <v>76</v>
      </c>
      <c r="R337" s="10" t="s">
        <v>235</v>
      </c>
      <c r="S337" s="11"/>
      <c r="T337" s="6"/>
      <c r="U337" s="28" t="str">
        <f>HYPERLINK("https://media.infra-m.ru/2114/2114759/cover/2114759.jpg", "Обложка")</f>
        <v>Обложка</v>
      </c>
      <c r="V337" s="28" t="str">
        <f>HYPERLINK("https://znanium.com/catalog/product/2114759", "Ознакомиться")</f>
        <v>Ознакомиться</v>
      </c>
      <c r="W337" s="8" t="s">
        <v>124</v>
      </c>
      <c r="X337" s="6"/>
      <c r="Y337" s="6"/>
      <c r="Z337" s="6"/>
      <c r="AA337" s="6" t="s">
        <v>62</v>
      </c>
    </row>
    <row r="338" spans="1:27" s="4" customFormat="1" ht="51.95" customHeight="1">
      <c r="A338" s="5">
        <v>0</v>
      </c>
      <c r="B338" s="6" t="s">
        <v>1991</v>
      </c>
      <c r="C338" s="13">
        <v>1550</v>
      </c>
      <c r="D338" s="8" t="s">
        <v>1992</v>
      </c>
      <c r="E338" s="8" t="s">
        <v>1993</v>
      </c>
      <c r="F338" s="8" t="s">
        <v>1994</v>
      </c>
      <c r="G338" s="6" t="s">
        <v>37</v>
      </c>
      <c r="H338" s="6" t="s">
        <v>84</v>
      </c>
      <c r="I338" s="8" t="s">
        <v>120</v>
      </c>
      <c r="J338" s="9">
        <v>1</v>
      </c>
      <c r="K338" s="9">
        <v>336</v>
      </c>
      <c r="L338" s="9">
        <v>2024</v>
      </c>
      <c r="M338" s="8" t="s">
        <v>1995</v>
      </c>
      <c r="N338" s="8" t="s">
        <v>40</v>
      </c>
      <c r="O338" s="8" t="s">
        <v>41</v>
      </c>
      <c r="P338" s="6" t="s">
        <v>1133</v>
      </c>
      <c r="Q338" s="8" t="s">
        <v>76</v>
      </c>
      <c r="R338" s="10" t="s">
        <v>1996</v>
      </c>
      <c r="S338" s="11"/>
      <c r="T338" s="6"/>
      <c r="U338" s="28" t="str">
        <f>HYPERLINK("https://media.infra-m.ru/2114/2114760/cover/2114760.jpg", "Обложка")</f>
        <v>Обложка</v>
      </c>
      <c r="V338" s="28" t="str">
        <f>HYPERLINK("https://znanium.com/catalog/product/2114760", "Ознакомиться")</f>
        <v>Ознакомиться</v>
      </c>
      <c r="W338" s="8" t="s">
        <v>124</v>
      </c>
      <c r="X338" s="6"/>
      <c r="Y338" s="6"/>
      <c r="Z338" s="6"/>
      <c r="AA338" s="6" t="s">
        <v>62</v>
      </c>
    </row>
    <row r="339" spans="1:27" s="4" customFormat="1" ht="51.95" customHeight="1">
      <c r="A339" s="5">
        <v>0</v>
      </c>
      <c r="B339" s="6" t="s">
        <v>1997</v>
      </c>
      <c r="C339" s="13">
        <v>1454</v>
      </c>
      <c r="D339" s="8" t="s">
        <v>1998</v>
      </c>
      <c r="E339" s="8" t="s">
        <v>1999</v>
      </c>
      <c r="F339" s="8" t="s">
        <v>1989</v>
      </c>
      <c r="G339" s="6" t="s">
        <v>37</v>
      </c>
      <c r="H339" s="6" t="s">
        <v>84</v>
      </c>
      <c r="I339" s="8" t="s">
        <v>120</v>
      </c>
      <c r="J339" s="9">
        <v>1</v>
      </c>
      <c r="K339" s="9">
        <v>315</v>
      </c>
      <c r="L339" s="9">
        <v>2024</v>
      </c>
      <c r="M339" s="8" t="s">
        <v>2000</v>
      </c>
      <c r="N339" s="8" t="s">
        <v>40</v>
      </c>
      <c r="O339" s="8" t="s">
        <v>41</v>
      </c>
      <c r="P339" s="6" t="s">
        <v>1133</v>
      </c>
      <c r="Q339" s="8" t="s">
        <v>76</v>
      </c>
      <c r="R339" s="10" t="s">
        <v>1996</v>
      </c>
      <c r="S339" s="11"/>
      <c r="T339" s="6"/>
      <c r="U339" s="28" t="str">
        <f>HYPERLINK("https://media.infra-m.ru/2114/2114762/cover/2114762.jpg", "Обложка")</f>
        <v>Обложка</v>
      </c>
      <c r="V339" s="28" t="str">
        <f>HYPERLINK("https://znanium.com/catalog/product/2011470", "Ознакомиться")</f>
        <v>Ознакомиться</v>
      </c>
      <c r="W339" s="8" t="s">
        <v>124</v>
      </c>
      <c r="X339" s="6"/>
      <c r="Y339" s="6"/>
      <c r="Z339" s="6"/>
      <c r="AA339" s="6" t="s">
        <v>62</v>
      </c>
    </row>
    <row r="340" spans="1:27" s="4" customFormat="1" ht="51.95" customHeight="1">
      <c r="A340" s="5">
        <v>0</v>
      </c>
      <c r="B340" s="6" t="s">
        <v>2001</v>
      </c>
      <c r="C340" s="13">
        <v>2430</v>
      </c>
      <c r="D340" s="8" t="s">
        <v>2002</v>
      </c>
      <c r="E340" s="8" t="s">
        <v>2003</v>
      </c>
      <c r="F340" s="8" t="s">
        <v>2004</v>
      </c>
      <c r="G340" s="6" t="s">
        <v>58</v>
      </c>
      <c r="H340" s="6" t="s">
        <v>38</v>
      </c>
      <c r="I340" s="8"/>
      <c r="J340" s="9">
        <v>1</v>
      </c>
      <c r="K340" s="9">
        <v>816</v>
      </c>
      <c r="L340" s="9">
        <v>2024</v>
      </c>
      <c r="M340" s="8" t="s">
        <v>2005</v>
      </c>
      <c r="N340" s="8" t="s">
        <v>40</v>
      </c>
      <c r="O340" s="8" t="s">
        <v>41</v>
      </c>
      <c r="P340" s="6" t="s">
        <v>95</v>
      </c>
      <c r="Q340" s="8" t="s">
        <v>76</v>
      </c>
      <c r="R340" s="10" t="s">
        <v>122</v>
      </c>
      <c r="S340" s="11"/>
      <c r="T340" s="6"/>
      <c r="U340" s="28" t="str">
        <f>HYPERLINK("https://media.infra-m.ru/2115/2115212/cover/2115212.jpg", "Обложка")</f>
        <v>Обложка</v>
      </c>
      <c r="V340" s="28" t="str">
        <f>HYPERLINK("https://znanium.com/catalog/product/982416", "Ознакомиться")</f>
        <v>Ознакомиться</v>
      </c>
      <c r="W340" s="8" t="s">
        <v>414</v>
      </c>
      <c r="X340" s="6"/>
      <c r="Y340" s="6"/>
      <c r="Z340" s="6"/>
      <c r="AA340" s="6" t="s">
        <v>2006</v>
      </c>
    </row>
    <row r="341" spans="1:27" s="4" customFormat="1" ht="51.95" customHeight="1">
      <c r="A341" s="5">
        <v>0</v>
      </c>
      <c r="B341" s="6" t="s">
        <v>2007</v>
      </c>
      <c r="C341" s="7">
        <v>720</v>
      </c>
      <c r="D341" s="8" t="s">
        <v>2008</v>
      </c>
      <c r="E341" s="8" t="s">
        <v>2009</v>
      </c>
      <c r="F341" s="8" t="s">
        <v>2010</v>
      </c>
      <c r="G341" s="6" t="s">
        <v>51</v>
      </c>
      <c r="H341" s="6" t="s">
        <v>84</v>
      </c>
      <c r="I341" s="8" t="s">
        <v>120</v>
      </c>
      <c r="J341" s="9">
        <v>1</v>
      </c>
      <c r="K341" s="9">
        <v>160</v>
      </c>
      <c r="L341" s="9">
        <v>2023</v>
      </c>
      <c r="M341" s="8" t="s">
        <v>2011</v>
      </c>
      <c r="N341" s="8" t="s">
        <v>40</v>
      </c>
      <c r="O341" s="8" t="s">
        <v>41</v>
      </c>
      <c r="P341" s="6" t="s">
        <v>75</v>
      </c>
      <c r="Q341" s="8" t="s">
        <v>76</v>
      </c>
      <c r="R341" s="10" t="s">
        <v>168</v>
      </c>
      <c r="S341" s="11" t="s">
        <v>2012</v>
      </c>
      <c r="T341" s="6"/>
      <c r="U341" s="28" t="str">
        <f>HYPERLINK("https://media.infra-m.ru/2002/2002658/cover/2002658.jpg", "Обложка")</f>
        <v>Обложка</v>
      </c>
      <c r="V341" s="28" t="str">
        <f>HYPERLINK("https://znanium.com/catalog/product/2002658", "Ознакомиться")</f>
        <v>Ознакомиться</v>
      </c>
      <c r="W341" s="8" t="s">
        <v>45</v>
      </c>
      <c r="X341" s="6"/>
      <c r="Y341" s="6"/>
      <c r="Z341" s="6"/>
      <c r="AA341" s="6" t="s">
        <v>524</v>
      </c>
    </row>
    <row r="342" spans="1:27" s="4" customFormat="1" ht="51.95" customHeight="1">
      <c r="A342" s="5">
        <v>0</v>
      </c>
      <c r="B342" s="6" t="s">
        <v>2013</v>
      </c>
      <c r="C342" s="13">
        <v>1584</v>
      </c>
      <c r="D342" s="8" t="s">
        <v>2014</v>
      </c>
      <c r="E342" s="8" t="s">
        <v>1953</v>
      </c>
      <c r="F342" s="8" t="s">
        <v>840</v>
      </c>
      <c r="G342" s="6" t="s">
        <v>58</v>
      </c>
      <c r="H342" s="6" t="s">
        <v>52</v>
      </c>
      <c r="I342" s="8" t="s">
        <v>185</v>
      </c>
      <c r="J342" s="9">
        <v>1</v>
      </c>
      <c r="K342" s="9">
        <v>344</v>
      </c>
      <c r="L342" s="9">
        <v>2024</v>
      </c>
      <c r="M342" s="8" t="s">
        <v>2015</v>
      </c>
      <c r="N342" s="8" t="s">
        <v>40</v>
      </c>
      <c r="O342" s="8" t="s">
        <v>41</v>
      </c>
      <c r="P342" s="6" t="s">
        <v>75</v>
      </c>
      <c r="Q342" s="8" t="s">
        <v>76</v>
      </c>
      <c r="R342" s="10" t="s">
        <v>77</v>
      </c>
      <c r="S342" s="11" t="s">
        <v>2016</v>
      </c>
      <c r="T342" s="6"/>
      <c r="U342" s="28" t="str">
        <f>HYPERLINK("https://media.infra-m.ru/2082/2082886/cover/2082886.jpg", "Обложка")</f>
        <v>Обложка</v>
      </c>
      <c r="V342" s="28" t="str">
        <f>HYPERLINK("https://znanium.com/catalog/product/1843605", "Ознакомиться")</f>
        <v>Ознакомиться</v>
      </c>
      <c r="W342" s="8" t="s">
        <v>726</v>
      </c>
      <c r="X342" s="6"/>
      <c r="Y342" s="6"/>
      <c r="Z342" s="6"/>
      <c r="AA342" s="6" t="s">
        <v>415</v>
      </c>
    </row>
    <row r="343" spans="1:27" s="4" customFormat="1" ht="51.95" customHeight="1">
      <c r="A343" s="5">
        <v>0</v>
      </c>
      <c r="B343" s="6" t="s">
        <v>2017</v>
      </c>
      <c r="C343" s="13">
        <v>1994</v>
      </c>
      <c r="D343" s="8" t="s">
        <v>2018</v>
      </c>
      <c r="E343" s="8" t="s">
        <v>1988</v>
      </c>
      <c r="F343" s="8" t="s">
        <v>2019</v>
      </c>
      <c r="G343" s="6" t="s">
        <v>58</v>
      </c>
      <c r="H343" s="6" t="s">
        <v>38</v>
      </c>
      <c r="I343" s="8"/>
      <c r="J343" s="9">
        <v>1</v>
      </c>
      <c r="K343" s="9">
        <v>448</v>
      </c>
      <c r="L343" s="9">
        <v>2023</v>
      </c>
      <c r="M343" s="8" t="s">
        <v>2020</v>
      </c>
      <c r="N343" s="8" t="s">
        <v>40</v>
      </c>
      <c r="O343" s="8" t="s">
        <v>41</v>
      </c>
      <c r="P343" s="6" t="s">
        <v>95</v>
      </c>
      <c r="Q343" s="8" t="s">
        <v>76</v>
      </c>
      <c r="R343" s="10" t="s">
        <v>122</v>
      </c>
      <c r="S343" s="11"/>
      <c r="T343" s="6"/>
      <c r="U343" s="28" t="str">
        <f>HYPERLINK("https://media.infra-m.ru/2009/2009683/cover/2009683.jpg", "Обложка")</f>
        <v>Обложка</v>
      </c>
      <c r="V343" s="28" t="str">
        <f>HYPERLINK("https://znanium.com/catalog/product/1014850", "Ознакомиться")</f>
        <v>Ознакомиться</v>
      </c>
      <c r="W343" s="8" t="s">
        <v>2021</v>
      </c>
      <c r="X343" s="6"/>
      <c r="Y343" s="6"/>
      <c r="Z343" s="6"/>
      <c r="AA343" s="6" t="s">
        <v>289</v>
      </c>
    </row>
    <row r="344" spans="1:27" s="4" customFormat="1" ht="51.95" customHeight="1">
      <c r="A344" s="5">
        <v>0</v>
      </c>
      <c r="B344" s="6" t="s">
        <v>2022</v>
      </c>
      <c r="C344" s="13">
        <v>2884.9</v>
      </c>
      <c r="D344" s="8" t="s">
        <v>2023</v>
      </c>
      <c r="E344" s="8" t="s">
        <v>2024</v>
      </c>
      <c r="F344" s="8" t="s">
        <v>2025</v>
      </c>
      <c r="G344" s="6" t="s">
        <v>37</v>
      </c>
      <c r="H344" s="6" t="s">
        <v>38</v>
      </c>
      <c r="I344" s="8"/>
      <c r="J344" s="9">
        <v>1</v>
      </c>
      <c r="K344" s="9">
        <v>800</v>
      </c>
      <c r="L344" s="9">
        <v>2023</v>
      </c>
      <c r="M344" s="8" t="s">
        <v>2026</v>
      </c>
      <c r="N344" s="8" t="s">
        <v>40</v>
      </c>
      <c r="O344" s="8" t="s">
        <v>41</v>
      </c>
      <c r="P344" s="6" t="s">
        <v>95</v>
      </c>
      <c r="Q344" s="8" t="s">
        <v>76</v>
      </c>
      <c r="R344" s="10" t="s">
        <v>235</v>
      </c>
      <c r="S344" s="11" t="s">
        <v>2027</v>
      </c>
      <c r="T344" s="6"/>
      <c r="U344" s="28" t="str">
        <f>HYPERLINK("https://media.infra-m.ru/1933/1933176/cover/1933176.jpg", "Обложка")</f>
        <v>Обложка</v>
      </c>
      <c r="V344" s="28" t="str">
        <f>HYPERLINK("https://znanium.com/catalog/product/1895236", "Ознакомиться")</f>
        <v>Ознакомиться</v>
      </c>
      <c r="W344" s="8" t="s">
        <v>114</v>
      </c>
      <c r="X344" s="6"/>
      <c r="Y344" s="6"/>
      <c r="Z344" s="6"/>
      <c r="AA344" s="6" t="s">
        <v>2028</v>
      </c>
    </row>
    <row r="345" spans="1:27" s="4" customFormat="1" ht="51.95" customHeight="1">
      <c r="A345" s="5">
        <v>0</v>
      </c>
      <c r="B345" s="6" t="s">
        <v>2029</v>
      </c>
      <c r="C345" s="13">
        <v>1844</v>
      </c>
      <c r="D345" s="8" t="s">
        <v>2030</v>
      </c>
      <c r="E345" s="8" t="s">
        <v>2031</v>
      </c>
      <c r="F345" s="8" t="s">
        <v>2032</v>
      </c>
      <c r="G345" s="6" t="s">
        <v>58</v>
      </c>
      <c r="H345" s="6" t="s">
        <v>38</v>
      </c>
      <c r="I345" s="8"/>
      <c r="J345" s="9">
        <v>1</v>
      </c>
      <c r="K345" s="9">
        <v>400</v>
      </c>
      <c r="L345" s="9">
        <v>2024</v>
      </c>
      <c r="M345" s="8" t="s">
        <v>2033</v>
      </c>
      <c r="N345" s="8" t="s">
        <v>40</v>
      </c>
      <c r="O345" s="8" t="s">
        <v>41</v>
      </c>
      <c r="P345" s="6" t="s">
        <v>95</v>
      </c>
      <c r="Q345" s="8" t="s">
        <v>76</v>
      </c>
      <c r="R345" s="10" t="s">
        <v>452</v>
      </c>
      <c r="S345" s="11" t="s">
        <v>2034</v>
      </c>
      <c r="T345" s="6"/>
      <c r="U345" s="28" t="str">
        <f>HYPERLINK("https://media.infra-m.ru/2096/2096327/cover/2096327.jpg", "Обложка")</f>
        <v>Обложка</v>
      </c>
      <c r="V345" s="28" t="str">
        <f>HYPERLINK("https://znanium.com/catalog/product/1142401", "Ознакомиться")</f>
        <v>Ознакомиться</v>
      </c>
      <c r="W345" s="8" t="s">
        <v>712</v>
      </c>
      <c r="X345" s="6"/>
      <c r="Y345" s="6"/>
      <c r="Z345" s="6"/>
      <c r="AA345" s="6" t="s">
        <v>289</v>
      </c>
    </row>
    <row r="346" spans="1:27" s="4" customFormat="1" ht="51.95" customHeight="1">
      <c r="A346" s="5">
        <v>0</v>
      </c>
      <c r="B346" s="6" t="s">
        <v>2035</v>
      </c>
      <c r="C346" s="13">
        <v>1430</v>
      </c>
      <c r="D346" s="8" t="s">
        <v>2036</v>
      </c>
      <c r="E346" s="8" t="s">
        <v>2031</v>
      </c>
      <c r="F346" s="8" t="s">
        <v>2037</v>
      </c>
      <c r="G346" s="6" t="s">
        <v>37</v>
      </c>
      <c r="H346" s="6" t="s">
        <v>52</v>
      </c>
      <c r="I346" s="8" t="s">
        <v>120</v>
      </c>
      <c r="J346" s="9">
        <v>1</v>
      </c>
      <c r="K346" s="9">
        <v>310</v>
      </c>
      <c r="L346" s="9">
        <v>2024</v>
      </c>
      <c r="M346" s="8" t="s">
        <v>2038</v>
      </c>
      <c r="N346" s="8" t="s">
        <v>40</v>
      </c>
      <c r="O346" s="8" t="s">
        <v>41</v>
      </c>
      <c r="P346" s="6" t="s">
        <v>75</v>
      </c>
      <c r="Q346" s="8" t="s">
        <v>680</v>
      </c>
      <c r="R346" s="10" t="s">
        <v>168</v>
      </c>
      <c r="S346" s="11"/>
      <c r="T346" s="6"/>
      <c r="U346" s="28" t="str">
        <f>HYPERLINK("https://media.infra-m.ru/1915/1915796/cover/1915796.jpg", "Обложка")</f>
        <v>Обложка</v>
      </c>
      <c r="V346" s="28" t="str">
        <f>HYPERLINK("https://znanium.com/catalog/product/1915796", "Ознакомиться")</f>
        <v>Ознакомиться</v>
      </c>
      <c r="W346" s="8" t="s">
        <v>2039</v>
      </c>
      <c r="X346" s="6"/>
      <c r="Y346" s="6"/>
      <c r="Z346" s="6"/>
      <c r="AA346" s="6" t="s">
        <v>148</v>
      </c>
    </row>
    <row r="347" spans="1:27" s="4" customFormat="1" ht="44.1" customHeight="1">
      <c r="A347" s="5">
        <v>0</v>
      </c>
      <c r="B347" s="6" t="s">
        <v>2040</v>
      </c>
      <c r="C347" s="13">
        <v>2154</v>
      </c>
      <c r="D347" s="8" t="s">
        <v>2041</v>
      </c>
      <c r="E347" s="8" t="s">
        <v>1988</v>
      </c>
      <c r="F347" s="8" t="s">
        <v>2042</v>
      </c>
      <c r="G347" s="6" t="s">
        <v>58</v>
      </c>
      <c r="H347" s="6" t="s">
        <v>38</v>
      </c>
      <c r="I347" s="8"/>
      <c r="J347" s="9">
        <v>1</v>
      </c>
      <c r="K347" s="9">
        <v>464</v>
      </c>
      <c r="L347" s="9">
        <v>2024</v>
      </c>
      <c r="M347" s="8" t="s">
        <v>2043</v>
      </c>
      <c r="N347" s="8" t="s">
        <v>40</v>
      </c>
      <c r="O347" s="8" t="s">
        <v>41</v>
      </c>
      <c r="P347" s="6" t="s">
        <v>95</v>
      </c>
      <c r="Q347" s="8" t="s">
        <v>680</v>
      </c>
      <c r="R347" s="10" t="s">
        <v>2044</v>
      </c>
      <c r="S347" s="11"/>
      <c r="T347" s="6"/>
      <c r="U347" s="28" t="str">
        <f>HYPERLINK("https://media.infra-m.ru/2114/2114324/cover/2114324.jpg", "Обложка")</f>
        <v>Обложка</v>
      </c>
      <c r="V347" s="28" t="str">
        <f>HYPERLINK("https://znanium.com/catalog/product/1220287", "Ознакомиться")</f>
        <v>Ознакомиться</v>
      </c>
      <c r="W347" s="8" t="s">
        <v>114</v>
      </c>
      <c r="X347" s="6"/>
      <c r="Y347" s="6"/>
      <c r="Z347" s="6"/>
      <c r="AA347" s="6" t="s">
        <v>115</v>
      </c>
    </row>
    <row r="348" spans="1:27" s="4" customFormat="1" ht="51.95" customHeight="1">
      <c r="A348" s="5">
        <v>0</v>
      </c>
      <c r="B348" s="6" t="s">
        <v>2045</v>
      </c>
      <c r="C348" s="7">
        <v>894</v>
      </c>
      <c r="D348" s="8" t="s">
        <v>2046</v>
      </c>
      <c r="E348" s="8" t="s">
        <v>2047</v>
      </c>
      <c r="F348" s="8" t="s">
        <v>2048</v>
      </c>
      <c r="G348" s="6" t="s">
        <v>58</v>
      </c>
      <c r="H348" s="6" t="s">
        <v>84</v>
      </c>
      <c r="I348" s="8" t="s">
        <v>251</v>
      </c>
      <c r="J348" s="9">
        <v>1</v>
      </c>
      <c r="K348" s="9">
        <v>576</v>
      </c>
      <c r="L348" s="9">
        <v>2024</v>
      </c>
      <c r="M348" s="8" t="s">
        <v>2049</v>
      </c>
      <c r="N348" s="8" t="s">
        <v>40</v>
      </c>
      <c r="O348" s="8" t="s">
        <v>41</v>
      </c>
      <c r="P348" s="6" t="s">
        <v>42</v>
      </c>
      <c r="Q348" s="8" t="s">
        <v>43</v>
      </c>
      <c r="R348" s="10" t="s">
        <v>473</v>
      </c>
      <c r="S348" s="11"/>
      <c r="T348" s="6"/>
      <c r="U348" s="28" t="str">
        <f>HYPERLINK("https://media.infra-m.ru/2085/2085040/cover/2085040.jpg", "Обложка")</f>
        <v>Обложка</v>
      </c>
      <c r="V348" s="12"/>
      <c r="W348" s="8" t="s">
        <v>1362</v>
      </c>
      <c r="X348" s="6"/>
      <c r="Y348" s="6"/>
      <c r="Z348" s="6"/>
      <c r="AA348" s="6" t="s">
        <v>88</v>
      </c>
    </row>
    <row r="349" spans="1:27" s="4" customFormat="1" ht="51.95" customHeight="1">
      <c r="A349" s="5">
        <v>0</v>
      </c>
      <c r="B349" s="6" t="s">
        <v>2050</v>
      </c>
      <c r="C349" s="13">
        <v>2240</v>
      </c>
      <c r="D349" s="8" t="s">
        <v>2051</v>
      </c>
      <c r="E349" s="8" t="s">
        <v>2052</v>
      </c>
      <c r="F349" s="8" t="s">
        <v>2053</v>
      </c>
      <c r="G349" s="6" t="s">
        <v>37</v>
      </c>
      <c r="H349" s="6" t="s">
        <v>38</v>
      </c>
      <c r="I349" s="8"/>
      <c r="J349" s="9">
        <v>1</v>
      </c>
      <c r="K349" s="9">
        <v>496</v>
      </c>
      <c r="L349" s="9">
        <v>2023</v>
      </c>
      <c r="M349" s="8" t="s">
        <v>2054</v>
      </c>
      <c r="N349" s="8" t="s">
        <v>40</v>
      </c>
      <c r="O349" s="8" t="s">
        <v>41</v>
      </c>
      <c r="P349" s="6" t="s">
        <v>95</v>
      </c>
      <c r="Q349" s="8" t="s">
        <v>157</v>
      </c>
      <c r="R349" s="10" t="s">
        <v>122</v>
      </c>
      <c r="S349" s="11"/>
      <c r="T349" s="6"/>
      <c r="U349" s="28" t="str">
        <f>HYPERLINK("https://media.infra-m.ru/1913/1913790/cover/1913790.jpg", "Обложка")</f>
        <v>Обложка</v>
      </c>
      <c r="V349" s="28" t="str">
        <f>HYPERLINK("https://znanium.com/catalog/product/1913790", "Ознакомиться")</f>
        <v>Ознакомиться</v>
      </c>
      <c r="W349" s="8" t="s">
        <v>45</v>
      </c>
      <c r="X349" s="6"/>
      <c r="Y349" s="6"/>
      <c r="Z349" s="6"/>
      <c r="AA349" s="6" t="s">
        <v>88</v>
      </c>
    </row>
    <row r="350" spans="1:27" s="4" customFormat="1" ht="51.95" customHeight="1">
      <c r="A350" s="5">
        <v>0</v>
      </c>
      <c r="B350" s="6" t="s">
        <v>2055</v>
      </c>
      <c r="C350" s="13">
        <v>1364.9</v>
      </c>
      <c r="D350" s="8" t="s">
        <v>2056</v>
      </c>
      <c r="E350" s="8" t="s">
        <v>2052</v>
      </c>
      <c r="F350" s="8" t="s">
        <v>2057</v>
      </c>
      <c r="G350" s="6" t="s">
        <v>58</v>
      </c>
      <c r="H350" s="6" t="s">
        <v>38</v>
      </c>
      <c r="I350" s="8"/>
      <c r="J350" s="9">
        <v>1</v>
      </c>
      <c r="K350" s="9">
        <v>464</v>
      </c>
      <c r="L350" s="9">
        <v>2018</v>
      </c>
      <c r="M350" s="8" t="s">
        <v>2058</v>
      </c>
      <c r="N350" s="8" t="s">
        <v>40</v>
      </c>
      <c r="O350" s="8" t="s">
        <v>41</v>
      </c>
      <c r="P350" s="6" t="s">
        <v>95</v>
      </c>
      <c r="Q350" s="8" t="s">
        <v>157</v>
      </c>
      <c r="R350" s="10" t="s">
        <v>122</v>
      </c>
      <c r="S350" s="11"/>
      <c r="T350" s="6"/>
      <c r="U350" s="28" t="str">
        <f>HYPERLINK("https://media.infra-m.ru/0983/0983575/cover/983575.jpg", "Обложка")</f>
        <v>Обложка</v>
      </c>
      <c r="V350" s="28" t="str">
        <f>HYPERLINK("https://znanium.com/catalog/product/1938068", "Ознакомиться")</f>
        <v>Ознакомиться</v>
      </c>
      <c r="W350" s="8" t="s">
        <v>712</v>
      </c>
      <c r="X350" s="6"/>
      <c r="Y350" s="6"/>
      <c r="Z350" s="6"/>
      <c r="AA350" s="6" t="s">
        <v>415</v>
      </c>
    </row>
    <row r="351" spans="1:27" s="4" customFormat="1" ht="51.95" customHeight="1">
      <c r="A351" s="5">
        <v>0</v>
      </c>
      <c r="B351" s="6" t="s">
        <v>2059</v>
      </c>
      <c r="C351" s="13">
        <v>1280</v>
      </c>
      <c r="D351" s="8" t="s">
        <v>2060</v>
      </c>
      <c r="E351" s="8" t="s">
        <v>2052</v>
      </c>
      <c r="F351" s="8" t="s">
        <v>2061</v>
      </c>
      <c r="G351" s="6" t="s">
        <v>37</v>
      </c>
      <c r="H351" s="6" t="s">
        <v>84</v>
      </c>
      <c r="I351" s="8" t="s">
        <v>316</v>
      </c>
      <c r="J351" s="9">
        <v>1</v>
      </c>
      <c r="K351" s="9">
        <v>283</v>
      </c>
      <c r="L351" s="9">
        <v>2023</v>
      </c>
      <c r="M351" s="8" t="s">
        <v>2062</v>
      </c>
      <c r="N351" s="8" t="s">
        <v>40</v>
      </c>
      <c r="O351" s="8" t="s">
        <v>41</v>
      </c>
      <c r="P351" s="6" t="s">
        <v>95</v>
      </c>
      <c r="Q351" s="8" t="s">
        <v>157</v>
      </c>
      <c r="R351" s="10" t="s">
        <v>122</v>
      </c>
      <c r="S351" s="11" t="s">
        <v>2063</v>
      </c>
      <c r="T351" s="6"/>
      <c r="U351" s="28" t="str">
        <f>HYPERLINK("https://media.infra-m.ru/1899/1899554/cover/1899554.jpg", "Обложка")</f>
        <v>Обложка</v>
      </c>
      <c r="V351" s="28" t="str">
        <f>HYPERLINK("https://znanium.com/catalog/product/1899554", "Ознакомиться")</f>
        <v>Ознакомиться</v>
      </c>
      <c r="W351" s="8" t="s">
        <v>2064</v>
      </c>
      <c r="X351" s="6"/>
      <c r="Y351" s="6"/>
      <c r="Z351" s="6"/>
      <c r="AA351" s="6" t="s">
        <v>46</v>
      </c>
    </row>
    <row r="352" spans="1:27" s="4" customFormat="1" ht="42" customHeight="1">
      <c r="A352" s="5">
        <v>0</v>
      </c>
      <c r="B352" s="6" t="s">
        <v>2065</v>
      </c>
      <c r="C352" s="13">
        <v>2590</v>
      </c>
      <c r="D352" s="8" t="s">
        <v>2066</v>
      </c>
      <c r="E352" s="8" t="s">
        <v>2052</v>
      </c>
      <c r="F352" s="8" t="s">
        <v>2067</v>
      </c>
      <c r="G352" s="6" t="s">
        <v>37</v>
      </c>
      <c r="H352" s="6" t="s">
        <v>52</v>
      </c>
      <c r="I352" s="8" t="s">
        <v>120</v>
      </c>
      <c r="J352" s="9">
        <v>1</v>
      </c>
      <c r="K352" s="9">
        <v>583</v>
      </c>
      <c r="L352" s="9">
        <v>2022</v>
      </c>
      <c r="M352" s="8" t="s">
        <v>2068</v>
      </c>
      <c r="N352" s="8" t="s">
        <v>40</v>
      </c>
      <c r="O352" s="8" t="s">
        <v>41</v>
      </c>
      <c r="P352" s="6" t="s">
        <v>95</v>
      </c>
      <c r="Q352" s="8" t="s">
        <v>157</v>
      </c>
      <c r="R352" s="10" t="s">
        <v>304</v>
      </c>
      <c r="S352" s="11"/>
      <c r="T352" s="6"/>
      <c r="U352" s="28" t="str">
        <f>HYPERLINK("https://media.infra-m.ru/1917/1917611/cover/1917611.jpg", "Обложка")</f>
        <v>Обложка</v>
      </c>
      <c r="V352" s="12"/>
      <c r="W352" s="8" t="s">
        <v>2069</v>
      </c>
      <c r="X352" s="6"/>
      <c r="Y352" s="6"/>
      <c r="Z352" s="6"/>
      <c r="AA352" s="6" t="s">
        <v>343</v>
      </c>
    </row>
    <row r="353" spans="1:27" s="4" customFormat="1" ht="51.95" customHeight="1">
      <c r="A353" s="5">
        <v>0</v>
      </c>
      <c r="B353" s="6" t="s">
        <v>2070</v>
      </c>
      <c r="C353" s="13">
        <v>2310</v>
      </c>
      <c r="D353" s="8" t="s">
        <v>2071</v>
      </c>
      <c r="E353" s="8" t="s">
        <v>2072</v>
      </c>
      <c r="F353" s="8" t="s">
        <v>2073</v>
      </c>
      <c r="G353" s="6" t="s">
        <v>58</v>
      </c>
      <c r="H353" s="6" t="s">
        <v>38</v>
      </c>
      <c r="I353" s="8"/>
      <c r="J353" s="9">
        <v>1</v>
      </c>
      <c r="K353" s="9">
        <v>512</v>
      </c>
      <c r="L353" s="9">
        <v>2023</v>
      </c>
      <c r="M353" s="8" t="s">
        <v>2074</v>
      </c>
      <c r="N353" s="8" t="s">
        <v>40</v>
      </c>
      <c r="O353" s="8" t="s">
        <v>41</v>
      </c>
      <c r="P353" s="6" t="s">
        <v>95</v>
      </c>
      <c r="Q353" s="8" t="s">
        <v>157</v>
      </c>
      <c r="R353" s="10" t="s">
        <v>122</v>
      </c>
      <c r="S353" s="11"/>
      <c r="T353" s="6"/>
      <c r="U353" s="28" t="str">
        <f>HYPERLINK("https://media.infra-m.ru/1938/1938068/cover/1938068.jpg", "Обложка")</f>
        <v>Обложка</v>
      </c>
      <c r="V353" s="28" t="str">
        <f>HYPERLINK("https://znanium.com/catalog/product/1938068", "Ознакомиться")</f>
        <v>Ознакомиться</v>
      </c>
      <c r="W353" s="8" t="s">
        <v>712</v>
      </c>
      <c r="X353" s="6"/>
      <c r="Y353" s="6"/>
      <c r="Z353" s="6"/>
      <c r="AA353" s="6" t="s">
        <v>836</v>
      </c>
    </row>
    <row r="354" spans="1:27" s="4" customFormat="1" ht="51.95" customHeight="1">
      <c r="A354" s="5">
        <v>0</v>
      </c>
      <c r="B354" s="6" t="s">
        <v>2075</v>
      </c>
      <c r="C354" s="7">
        <v>574.9</v>
      </c>
      <c r="D354" s="8" t="s">
        <v>2076</v>
      </c>
      <c r="E354" s="8" t="s">
        <v>2052</v>
      </c>
      <c r="F354" s="8" t="s">
        <v>2077</v>
      </c>
      <c r="G354" s="6" t="s">
        <v>58</v>
      </c>
      <c r="H354" s="6" t="s">
        <v>38</v>
      </c>
      <c r="I354" s="8"/>
      <c r="J354" s="9">
        <v>1</v>
      </c>
      <c r="K354" s="9">
        <v>128</v>
      </c>
      <c r="L354" s="9">
        <v>2023</v>
      </c>
      <c r="M354" s="8" t="s">
        <v>2078</v>
      </c>
      <c r="N354" s="8" t="s">
        <v>40</v>
      </c>
      <c r="O354" s="8" t="s">
        <v>41</v>
      </c>
      <c r="P354" s="6" t="s">
        <v>75</v>
      </c>
      <c r="Q354" s="8" t="s">
        <v>157</v>
      </c>
      <c r="R354" s="10" t="s">
        <v>122</v>
      </c>
      <c r="S354" s="11"/>
      <c r="T354" s="6"/>
      <c r="U354" s="28" t="str">
        <f>HYPERLINK("https://media.infra-m.ru/1905/1905977/cover/1905977.jpg", "Обложка")</f>
        <v>Обложка</v>
      </c>
      <c r="V354" s="28" t="str">
        <f>HYPERLINK("https://znanium.com/catalog/product/1149006", "Ознакомиться")</f>
        <v>Ознакомиться</v>
      </c>
      <c r="W354" s="8" t="s">
        <v>114</v>
      </c>
      <c r="X354" s="6"/>
      <c r="Y354" s="6"/>
      <c r="Z354" s="6"/>
      <c r="AA354" s="6" t="s">
        <v>46</v>
      </c>
    </row>
    <row r="355" spans="1:27" s="4" customFormat="1" ht="42" customHeight="1">
      <c r="A355" s="5">
        <v>0</v>
      </c>
      <c r="B355" s="6" t="s">
        <v>2079</v>
      </c>
      <c r="C355" s="13">
        <v>1370</v>
      </c>
      <c r="D355" s="8" t="s">
        <v>2080</v>
      </c>
      <c r="E355" s="8" t="s">
        <v>2081</v>
      </c>
      <c r="F355" s="8" t="s">
        <v>2082</v>
      </c>
      <c r="G355" s="6" t="s">
        <v>37</v>
      </c>
      <c r="H355" s="6" t="s">
        <v>38</v>
      </c>
      <c r="I355" s="8"/>
      <c r="J355" s="9">
        <v>1</v>
      </c>
      <c r="K355" s="9">
        <v>296</v>
      </c>
      <c r="L355" s="9">
        <v>2024</v>
      </c>
      <c r="M355" s="8" t="s">
        <v>2083</v>
      </c>
      <c r="N355" s="8" t="s">
        <v>40</v>
      </c>
      <c r="O355" s="8" t="s">
        <v>41</v>
      </c>
      <c r="P355" s="6" t="s">
        <v>95</v>
      </c>
      <c r="Q355" s="8" t="s">
        <v>2084</v>
      </c>
      <c r="R355" s="10" t="s">
        <v>2085</v>
      </c>
      <c r="S355" s="11"/>
      <c r="T355" s="6"/>
      <c r="U355" s="28" t="str">
        <f>HYPERLINK("https://media.infra-m.ru/2083/2083879/cover/2083879.jpg", "Обложка")</f>
        <v>Обложка</v>
      </c>
      <c r="V355" s="28" t="str">
        <f>HYPERLINK("https://znanium.com/catalog/product/2083879", "Ознакомиться")</f>
        <v>Ознакомиться</v>
      </c>
      <c r="W355" s="8" t="s">
        <v>114</v>
      </c>
      <c r="X355" s="6"/>
      <c r="Y355" s="6"/>
      <c r="Z355" s="6"/>
      <c r="AA355" s="6" t="s">
        <v>115</v>
      </c>
    </row>
    <row r="356" spans="1:27" s="4" customFormat="1" ht="51.95" customHeight="1">
      <c r="A356" s="5">
        <v>0</v>
      </c>
      <c r="B356" s="6" t="s">
        <v>2086</v>
      </c>
      <c r="C356" s="13">
        <v>2700</v>
      </c>
      <c r="D356" s="8" t="s">
        <v>2087</v>
      </c>
      <c r="E356" s="8" t="s">
        <v>2088</v>
      </c>
      <c r="F356" s="8" t="s">
        <v>2089</v>
      </c>
      <c r="G356" s="6" t="s">
        <v>58</v>
      </c>
      <c r="H356" s="6" t="s">
        <v>38</v>
      </c>
      <c r="I356" s="8"/>
      <c r="J356" s="9">
        <v>1</v>
      </c>
      <c r="K356" s="9">
        <v>640</v>
      </c>
      <c r="L356" s="9">
        <v>2024</v>
      </c>
      <c r="M356" s="8" t="s">
        <v>2090</v>
      </c>
      <c r="N356" s="8" t="s">
        <v>40</v>
      </c>
      <c r="O356" s="8" t="s">
        <v>41</v>
      </c>
      <c r="P356" s="6" t="s">
        <v>75</v>
      </c>
      <c r="Q356" s="8" t="s">
        <v>76</v>
      </c>
      <c r="R356" s="10" t="s">
        <v>77</v>
      </c>
      <c r="S356" s="11" t="s">
        <v>2091</v>
      </c>
      <c r="T356" s="6"/>
      <c r="U356" s="28" t="str">
        <f>HYPERLINK("https://media.infra-m.ru/2110/2110952/cover/2110952.jpg", "Обложка")</f>
        <v>Обложка</v>
      </c>
      <c r="V356" s="28" t="str">
        <f>HYPERLINK("https://znanium.com/catalog/product/2110952", "Ознакомиться")</f>
        <v>Ознакомиться</v>
      </c>
      <c r="W356" s="8" t="s">
        <v>414</v>
      </c>
      <c r="X356" s="6"/>
      <c r="Y356" s="6"/>
      <c r="Z356" s="6"/>
      <c r="AA356" s="6" t="s">
        <v>88</v>
      </c>
    </row>
    <row r="357" spans="1:27" s="4" customFormat="1" ht="51.95" customHeight="1">
      <c r="A357" s="5">
        <v>0</v>
      </c>
      <c r="B357" s="6" t="s">
        <v>2092</v>
      </c>
      <c r="C357" s="13">
        <v>2550</v>
      </c>
      <c r="D357" s="8" t="s">
        <v>2093</v>
      </c>
      <c r="E357" s="8" t="s">
        <v>2094</v>
      </c>
      <c r="F357" s="8" t="s">
        <v>2095</v>
      </c>
      <c r="G357" s="6" t="s">
        <v>37</v>
      </c>
      <c r="H357" s="6" t="s">
        <v>38</v>
      </c>
      <c r="I357" s="8"/>
      <c r="J357" s="9">
        <v>1</v>
      </c>
      <c r="K357" s="9">
        <v>736</v>
      </c>
      <c r="L357" s="9">
        <v>2023</v>
      </c>
      <c r="M357" s="8" t="s">
        <v>2096</v>
      </c>
      <c r="N357" s="8" t="s">
        <v>40</v>
      </c>
      <c r="O357" s="8" t="s">
        <v>41</v>
      </c>
      <c r="P357" s="6" t="s">
        <v>75</v>
      </c>
      <c r="Q357" s="8" t="s">
        <v>76</v>
      </c>
      <c r="R357" s="10" t="s">
        <v>77</v>
      </c>
      <c r="S357" s="11"/>
      <c r="T357" s="6"/>
      <c r="U357" s="28" t="str">
        <f>HYPERLINK("https://media.infra-m.ru/1895/1895628/cover/1895628.jpg", "Обложка")</f>
        <v>Обложка</v>
      </c>
      <c r="V357" s="28" t="str">
        <f>HYPERLINK("https://znanium.com/catalog/product/1895628", "Ознакомиться")</f>
        <v>Ознакомиться</v>
      </c>
      <c r="W357" s="8" t="s">
        <v>414</v>
      </c>
      <c r="X357" s="6"/>
      <c r="Y357" s="6"/>
      <c r="Z357" s="6"/>
      <c r="AA357" s="6" t="s">
        <v>148</v>
      </c>
    </row>
    <row r="358" spans="1:27" s="4" customFormat="1" ht="51.95" customHeight="1">
      <c r="A358" s="5">
        <v>0</v>
      </c>
      <c r="B358" s="6" t="s">
        <v>2097</v>
      </c>
      <c r="C358" s="7">
        <v>264.89999999999998</v>
      </c>
      <c r="D358" s="8" t="s">
        <v>2098</v>
      </c>
      <c r="E358" s="8" t="s">
        <v>2099</v>
      </c>
      <c r="F358" s="8" t="s">
        <v>2100</v>
      </c>
      <c r="G358" s="6" t="s">
        <v>51</v>
      </c>
      <c r="H358" s="6" t="s">
        <v>52</v>
      </c>
      <c r="I358" s="8" t="s">
        <v>1983</v>
      </c>
      <c r="J358" s="9">
        <v>1</v>
      </c>
      <c r="K358" s="9">
        <v>121</v>
      </c>
      <c r="L358" s="9">
        <v>2020</v>
      </c>
      <c r="M358" s="8" t="s">
        <v>2101</v>
      </c>
      <c r="N358" s="8" t="s">
        <v>40</v>
      </c>
      <c r="O358" s="8" t="s">
        <v>41</v>
      </c>
      <c r="P358" s="6" t="s">
        <v>75</v>
      </c>
      <c r="Q358" s="8" t="s">
        <v>76</v>
      </c>
      <c r="R358" s="10" t="s">
        <v>122</v>
      </c>
      <c r="S358" s="11"/>
      <c r="T358" s="6"/>
      <c r="U358" s="28" t="str">
        <f>HYPERLINK("https://media.infra-m.ru/1052/1052231/cover/1052231.jpg", "Обложка")</f>
        <v>Обложка</v>
      </c>
      <c r="V358" s="28" t="str">
        <f>HYPERLINK("https://znanium.com/catalog/product/1052231", "Ознакомиться")</f>
        <v>Ознакомиться</v>
      </c>
      <c r="W358" s="8"/>
      <c r="X358" s="6"/>
      <c r="Y358" s="6"/>
      <c r="Z358" s="6"/>
      <c r="AA358" s="6" t="s">
        <v>1964</v>
      </c>
    </row>
    <row r="359" spans="1:27" s="4" customFormat="1" ht="51.95" customHeight="1">
      <c r="A359" s="5">
        <v>0</v>
      </c>
      <c r="B359" s="6" t="s">
        <v>2102</v>
      </c>
      <c r="C359" s="13">
        <v>1980</v>
      </c>
      <c r="D359" s="8" t="s">
        <v>2103</v>
      </c>
      <c r="E359" s="8" t="s">
        <v>2104</v>
      </c>
      <c r="F359" s="8" t="s">
        <v>2105</v>
      </c>
      <c r="G359" s="6" t="s">
        <v>58</v>
      </c>
      <c r="H359" s="6" t="s">
        <v>84</v>
      </c>
      <c r="I359" s="8" t="s">
        <v>120</v>
      </c>
      <c r="J359" s="9">
        <v>1</v>
      </c>
      <c r="K359" s="9">
        <v>429</v>
      </c>
      <c r="L359" s="9">
        <v>2024</v>
      </c>
      <c r="M359" s="8" t="s">
        <v>2106</v>
      </c>
      <c r="N359" s="8" t="s">
        <v>40</v>
      </c>
      <c r="O359" s="8" t="s">
        <v>41</v>
      </c>
      <c r="P359" s="6" t="s">
        <v>75</v>
      </c>
      <c r="Q359" s="8" t="s">
        <v>76</v>
      </c>
      <c r="R359" s="10" t="s">
        <v>168</v>
      </c>
      <c r="S359" s="11" t="s">
        <v>2107</v>
      </c>
      <c r="T359" s="6"/>
      <c r="U359" s="28" t="str">
        <f>HYPERLINK("https://media.infra-m.ru/2096/2096304/cover/2096304.jpg", "Обложка")</f>
        <v>Обложка</v>
      </c>
      <c r="V359" s="28" t="str">
        <f>HYPERLINK("https://znanium.com/catalog/product/2096304", "Ознакомиться")</f>
        <v>Ознакомиться</v>
      </c>
      <c r="W359" s="8" t="s">
        <v>45</v>
      </c>
      <c r="X359" s="6"/>
      <c r="Y359" s="6"/>
      <c r="Z359" s="6"/>
      <c r="AA359" s="6" t="s">
        <v>836</v>
      </c>
    </row>
    <row r="360" spans="1:27" s="4" customFormat="1" ht="51.95" customHeight="1">
      <c r="A360" s="5">
        <v>0</v>
      </c>
      <c r="B360" s="6" t="s">
        <v>2108</v>
      </c>
      <c r="C360" s="13">
        <v>1540</v>
      </c>
      <c r="D360" s="8" t="s">
        <v>2109</v>
      </c>
      <c r="E360" s="8" t="s">
        <v>2099</v>
      </c>
      <c r="F360" s="8" t="s">
        <v>2105</v>
      </c>
      <c r="G360" s="6" t="s">
        <v>58</v>
      </c>
      <c r="H360" s="6" t="s">
        <v>84</v>
      </c>
      <c r="I360" s="8" t="s">
        <v>93</v>
      </c>
      <c r="J360" s="9">
        <v>1</v>
      </c>
      <c r="K360" s="9">
        <v>429</v>
      </c>
      <c r="L360" s="9">
        <v>2021</v>
      </c>
      <c r="M360" s="8" t="s">
        <v>2110</v>
      </c>
      <c r="N360" s="8" t="s">
        <v>40</v>
      </c>
      <c r="O360" s="8" t="s">
        <v>41</v>
      </c>
      <c r="P360" s="6" t="s">
        <v>75</v>
      </c>
      <c r="Q360" s="8" t="s">
        <v>96</v>
      </c>
      <c r="R360" s="10" t="s">
        <v>181</v>
      </c>
      <c r="S360" s="11" t="s">
        <v>2111</v>
      </c>
      <c r="T360" s="6"/>
      <c r="U360" s="28" t="str">
        <f>HYPERLINK("https://media.infra-m.ru/0961/0961439/cover/961439.jpg", "Обложка")</f>
        <v>Обложка</v>
      </c>
      <c r="V360" s="28" t="str">
        <f>HYPERLINK("https://znanium.com/catalog/product/961439", "Ознакомиться")</f>
        <v>Ознакомиться</v>
      </c>
      <c r="W360" s="8" t="s">
        <v>45</v>
      </c>
      <c r="X360" s="6"/>
      <c r="Y360" s="6"/>
      <c r="Z360" s="6" t="s">
        <v>136</v>
      </c>
      <c r="AA360" s="6" t="s">
        <v>62</v>
      </c>
    </row>
    <row r="361" spans="1:27" s="4" customFormat="1" ht="51.95" customHeight="1">
      <c r="A361" s="5">
        <v>0</v>
      </c>
      <c r="B361" s="6" t="s">
        <v>2112</v>
      </c>
      <c r="C361" s="7">
        <v>484.9</v>
      </c>
      <c r="D361" s="8" t="s">
        <v>2113</v>
      </c>
      <c r="E361" s="8" t="s">
        <v>2114</v>
      </c>
      <c r="F361" s="8" t="s">
        <v>2010</v>
      </c>
      <c r="G361" s="6" t="s">
        <v>51</v>
      </c>
      <c r="H361" s="6" t="s">
        <v>84</v>
      </c>
      <c r="I361" s="8" t="s">
        <v>93</v>
      </c>
      <c r="J361" s="9">
        <v>1</v>
      </c>
      <c r="K361" s="9">
        <v>143</v>
      </c>
      <c r="L361" s="9">
        <v>2020</v>
      </c>
      <c r="M361" s="8" t="s">
        <v>2115</v>
      </c>
      <c r="N361" s="8" t="s">
        <v>40</v>
      </c>
      <c r="O361" s="8" t="s">
        <v>41</v>
      </c>
      <c r="P361" s="6" t="s">
        <v>75</v>
      </c>
      <c r="Q361" s="8" t="s">
        <v>96</v>
      </c>
      <c r="R361" s="10" t="s">
        <v>2116</v>
      </c>
      <c r="S361" s="11" t="s">
        <v>2117</v>
      </c>
      <c r="T361" s="6"/>
      <c r="U361" s="28" t="str">
        <f>HYPERLINK("https://media.infra-m.ru/1047/1047154/cover/1047154.jpg", "Обложка")</f>
        <v>Обложка</v>
      </c>
      <c r="V361" s="28" t="str">
        <f>HYPERLINK("https://znanium.com/catalog/product/1047154", "Ознакомиться")</f>
        <v>Ознакомиться</v>
      </c>
      <c r="W361" s="8" t="s">
        <v>45</v>
      </c>
      <c r="X361" s="6"/>
      <c r="Y361" s="6"/>
      <c r="Z361" s="6"/>
      <c r="AA361" s="6" t="s">
        <v>148</v>
      </c>
    </row>
    <row r="362" spans="1:27" s="4" customFormat="1" ht="51.95" customHeight="1">
      <c r="A362" s="5">
        <v>0</v>
      </c>
      <c r="B362" s="6" t="s">
        <v>2118</v>
      </c>
      <c r="C362" s="13">
        <v>1364.9</v>
      </c>
      <c r="D362" s="8" t="s">
        <v>2119</v>
      </c>
      <c r="E362" s="8" t="s">
        <v>2099</v>
      </c>
      <c r="F362" s="8" t="s">
        <v>2105</v>
      </c>
      <c r="G362" s="6" t="s">
        <v>58</v>
      </c>
      <c r="H362" s="6" t="s">
        <v>84</v>
      </c>
      <c r="I362" s="8" t="s">
        <v>185</v>
      </c>
      <c r="J362" s="9">
        <v>1</v>
      </c>
      <c r="K362" s="9">
        <v>428</v>
      </c>
      <c r="L362" s="9">
        <v>2019</v>
      </c>
      <c r="M362" s="8" t="s">
        <v>2120</v>
      </c>
      <c r="N362" s="8" t="s">
        <v>40</v>
      </c>
      <c r="O362" s="8" t="s">
        <v>41</v>
      </c>
      <c r="P362" s="6" t="s">
        <v>75</v>
      </c>
      <c r="Q362" s="8" t="s">
        <v>76</v>
      </c>
      <c r="R362" s="10" t="s">
        <v>168</v>
      </c>
      <c r="S362" s="11" t="s">
        <v>2121</v>
      </c>
      <c r="T362" s="6"/>
      <c r="U362" s="28" t="str">
        <f>HYPERLINK("https://media.infra-m.ru/1014/1014718/cover/1014718.jpg", "Обложка")</f>
        <v>Обложка</v>
      </c>
      <c r="V362" s="28" t="str">
        <f>HYPERLINK("https://znanium.com/catalog/product/2096304", "Ознакомиться")</f>
        <v>Ознакомиться</v>
      </c>
      <c r="W362" s="8" t="s">
        <v>45</v>
      </c>
      <c r="X362" s="6"/>
      <c r="Y362" s="6"/>
      <c r="Z362" s="6"/>
      <c r="AA362" s="6" t="s">
        <v>88</v>
      </c>
    </row>
    <row r="363" spans="1:27" s="4" customFormat="1" ht="51.95" customHeight="1">
      <c r="A363" s="5">
        <v>0</v>
      </c>
      <c r="B363" s="6" t="s">
        <v>2122</v>
      </c>
      <c r="C363" s="13">
        <v>1324</v>
      </c>
      <c r="D363" s="8" t="s">
        <v>2123</v>
      </c>
      <c r="E363" s="8" t="s">
        <v>2124</v>
      </c>
      <c r="F363" s="8" t="s">
        <v>2125</v>
      </c>
      <c r="G363" s="6" t="s">
        <v>51</v>
      </c>
      <c r="H363" s="6" t="s">
        <v>400</v>
      </c>
      <c r="I363" s="8" t="s">
        <v>1087</v>
      </c>
      <c r="J363" s="9">
        <v>1</v>
      </c>
      <c r="K363" s="9">
        <v>352</v>
      </c>
      <c r="L363" s="9">
        <v>2023</v>
      </c>
      <c r="M363" s="8" t="s">
        <v>2126</v>
      </c>
      <c r="N363" s="8" t="s">
        <v>40</v>
      </c>
      <c r="O363" s="8" t="s">
        <v>41</v>
      </c>
      <c r="P363" s="6" t="s">
        <v>523</v>
      </c>
      <c r="Q363" s="8" t="s">
        <v>76</v>
      </c>
      <c r="R363" s="10" t="s">
        <v>1900</v>
      </c>
      <c r="S363" s="11"/>
      <c r="T363" s="6"/>
      <c r="U363" s="28" t="str">
        <f>HYPERLINK("https://media.infra-m.ru/1228/1228801/cover/1228801.jpg", "Обложка")</f>
        <v>Обложка</v>
      </c>
      <c r="V363" s="28" t="str">
        <f>HYPERLINK("https://znanium.com/catalog/product/1228801", "Ознакомиться")</f>
        <v>Ознакомиться</v>
      </c>
      <c r="W363" s="8" t="s">
        <v>78</v>
      </c>
      <c r="X363" s="6"/>
      <c r="Y363" s="6"/>
      <c r="Z363" s="6"/>
      <c r="AA363" s="6" t="s">
        <v>2127</v>
      </c>
    </row>
    <row r="364" spans="1:27" s="4" customFormat="1" ht="51.95" customHeight="1">
      <c r="A364" s="5">
        <v>0</v>
      </c>
      <c r="B364" s="6" t="s">
        <v>2128</v>
      </c>
      <c r="C364" s="7">
        <v>584</v>
      </c>
      <c r="D364" s="8" t="s">
        <v>2129</v>
      </c>
      <c r="E364" s="8" t="s">
        <v>2130</v>
      </c>
      <c r="F364" s="8" t="s">
        <v>2131</v>
      </c>
      <c r="G364" s="6" t="s">
        <v>51</v>
      </c>
      <c r="H364" s="6" t="s">
        <v>192</v>
      </c>
      <c r="I364" s="8"/>
      <c r="J364" s="9">
        <v>1</v>
      </c>
      <c r="K364" s="9">
        <v>128</v>
      </c>
      <c r="L364" s="9">
        <v>2024</v>
      </c>
      <c r="M364" s="8" t="s">
        <v>2132</v>
      </c>
      <c r="N364" s="8" t="s">
        <v>40</v>
      </c>
      <c r="O364" s="8" t="s">
        <v>41</v>
      </c>
      <c r="P364" s="6" t="s">
        <v>75</v>
      </c>
      <c r="Q364" s="8" t="s">
        <v>76</v>
      </c>
      <c r="R364" s="10" t="s">
        <v>77</v>
      </c>
      <c r="S364" s="11" t="s">
        <v>2133</v>
      </c>
      <c r="T364" s="6"/>
      <c r="U364" s="28" t="str">
        <f>HYPERLINK("https://media.infra-m.ru/2087/2087306/cover/2087306.jpg", "Обложка")</f>
        <v>Обложка</v>
      </c>
      <c r="V364" s="28" t="str">
        <f>HYPERLINK("https://znanium.com/catalog/product/1947348", "Ознакомиться")</f>
        <v>Ознакомиться</v>
      </c>
      <c r="W364" s="8" t="s">
        <v>2134</v>
      </c>
      <c r="X364" s="6"/>
      <c r="Y364" s="6"/>
      <c r="Z364" s="6"/>
      <c r="AA364" s="6" t="s">
        <v>298</v>
      </c>
    </row>
    <row r="365" spans="1:27" s="4" customFormat="1" ht="51.95" customHeight="1">
      <c r="A365" s="5">
        <v>0</v>
      </c>
      <c r="B365" s="6" t="s">
        <v>2135</v>
      </c>
      <c r="C365" s="7">
        <v>994.9</v>
      </c>
      <c r="D365" s="8" t="s">
        <v>2136</v>
      </c>
      <c r="E365" s="8" t="s">
        <v>2137</v>
      </c>
      <c r="F365" s="8" t="s">
        <v>1785</v>
      </c>
      <c r="G365" s="6" t="s">
        <v>58</v>
      </c>
      <c r="H365" s="6" t="s">
        <v>400</v>
      </c>
      <c r="I365" s="8"/>
      <c r="J365" s="9">
        <v>12</v>
      </c>
      <c r="K365" s="9">
        <v>592</v>
      </c>
      <c r="L365" s="9">
        <v>2017</v>
      </c>
      <c r="M365" s="8" t="s">
        <v>2138</v>
      </c>
      <c r="N365" s="8" t="s">
        <v>40</v>
      </c>
      <c r="O365" s="8" t="s">
        <v>41</v>
      </c>
      <c r="P365" s="6" t="s">
        <v>75</v>
      </c>
      <c r="Q365" s="8" t="s">
        <v>76</v>
      </c>
      <c r="R365" s="10" t="s">
        <v>1900</v>
      </c>
      <c r="S365" s="11"/>
      <c r="T365" s="6"/>
      <c r="U365" s="12"/>
      <c r="V365" s="28" t="str">
        <f>HYPERLINK("https://znanium.com/catalog/product/1818643", "Ознакомиться")</f>
        <v>Ознакомиться</v>
      </c>
      <c r="W365" s="8" t="s">
        <v>700</v>
      </c>
      <c r="X365" s="6"/>
      <c r="Y365" s="6"/>
      <c r="Z365" s="6"/>
      <c r="AA365" s="6" t="s">
        <v>2139</v>
      </c>
    </row>
    <row r="366" spans="1:27" s="4" customFormat="1" ht="51.95" customHeight="1">
      <c r="A366" s="5">
        <v>0</v>
      </c>
      <c r="B366" s="6" t="s">
        <v>2140</v>
      </c>
      <c r="C366" s="7">
        <v>584</v>
      </c>
      <c r="D366" s="8" t="s">
        <v>2141</v>
      </c>
      <c r="E366" s="8" t="s">
        <v>2130</v>
      </c>
      <c r="F366" s="8" t="s">
        <v>2131</v>
      </c>
      <c r="G366" s="6" t="s">
        <v>51</v>
      </c>
      <c r="H366" s="6" t="s">
        <v>192</v>
      </c>
      <c r="I366" s="8" t="s">
        <v>93</v>
      </c>
      <c r="J366" s="9">
        <v>1</v>
      </c>
      <c r="K366" s="9">
        <v>128</v>
      </c>
      <c r="L366" s="9">
        <v>2023</v>
      </c>
      <c r="M366" s="8" t="s">
        <v>2142</v>
      </c>
      <c r="N366" s="8" t="s">
        <v>40</v>
      </c>
      <c r="O366" s="8" t="s">
        <v>41</v>
      </c>
      <c r="P366" s="6" t="s">
        <v>75</v>
      </c>
      <c r="Q366" s="8" t="s">
        <v>96</v>
      </c>
      <c r="R366" s="10" t="s">
        <v>2143</v>
      </c>
      <c r="S366" s="11" t="s">
        <v>2111</v>
      </c>
      <c r="T366" s="6"/>
      <c r="U366" s="28" t="str">
        <f>HYPERLINK("https://media.infra-m.ru/2021/2021421/cover/2021421.jpg", "Обложка")</f>
        <v>Обложка</v>
      </c>
      <c r="V366" s="28" t="str">
        <f>HYPERLINK("https://znanium.com/catalog/product/961440", "Ознакомиться")</f>
        <v>Ознакомиться</v>
      </c>
      <c r="W366" s="8" t="s">
        <v>2134</v>
      </c>
      <c r="X366" s="6"/>
      <c r="Y366" s="6"/>
      <c r="Z366" s="6" t="s">
        <v>136</v>
      </c>
      <c r="AA366" s="6" t="s">
        <v>62</v>
      </c>
    </row>
    <row r="367" spans="1:27" s="4" customFormat="1" ht="51.95" customHeight="1">
      <c r="A367" s="5">
        <v>0</v>
      </c>
      <c r="B367" s="6" t="s">
        <v>2144</v>
      </c>
      <c r="C367" s="13">
        <v>1944</v>
      </c>
      <c r="D367" s="8" t="s">
        <v>2145</v>
      </c>
      <c r="E367" s="8" t="s">
        <v>2146</v>
      </c>
      <c r="F367" s="8" t="s">
        <v>2147</v>
      </c>
      <c r="G367" s="6" t="s">
        <v>58</v>
      </c>
      <c r="H367" s="6" t="s">
        <v>38</v>
      </c>
      <c r="I367" s="8"/>
      <c r="J367" s="9">
        <v>1</v>
      </c>
      <c r="K367" s="9">
        <v>432</v>
      </c>
      <c r="L367" s="9">
        <v>2024</v>
      </c>
      <c r="M367" s="8" t="s">
        <v>2148</v>
      </c>
      <c r="N367" s="8" t="s">
        <v>40</v>
      </c>
      <c r="O367" s="8" t="s">
        <v>41</v>
      </c>
      <c r="P367" s="6" t="s">
        <v>95</v>
      </c>
      <c r="Q367" s="8" t="s">
        <v>76</v>
      </c>
      <c r="R367" s="10" t="s">
        <v>2149</v>
      </c>
      <c r="S367" s="11"/>
      <c r="T367" s="6" t="s">
        <v>368</v>
      </c>
      <c r="U367" s="28" t="str">
        <f>HYPERLINK("https://media.infra-m.ru/1906/1906807/cover/1906807.jpg", "Обложка")</f>
        <v>Обложка</v>
      </c>
      <c r="V367" s="28" t="str">
        <f>HYPERLINK("https://znanium.com/catalog/product/1081008", "Ознакомиться")</f>
        <v>Ознакомиться</v>
      </c>
      <c r="W367" s="8" t="s">
        <v>114</v>
      </c>
      <c r="X367" s="6"/>
      <c r="Y367" s="6"/>
      <c r="Z367" s="6"/>
      <c r="AA367" s="6" t="s">
        <v>2150</v>
      </c>
    </row>
    <row r="368" spans="1:27" s="4" customFormat="1" ht="51.95" customHeight="1">
      <c r="A368" s="5">
        <v>0</v>
      </c>
      <c r="B368" s="6" t="s">
        <v>2151</v>
      </c>
      <c r="C368" s="13">
        <v>1944.9</v>
      </c>
      <c r="D368" s="8" t="s">
        <v>2152</v>
      </c>
      <c r="E368" s="8" t="s">
        <v>2153</v>
      </c>
      <c r="F368" s="8" t="s">
        <v>697</v>
      </c>
      <c r="G368" s="6" t="s">
        <v>37</v>
      </c>
      <c r="H368" s="6" t="s">
        <v>38</v>
      </c>
      <c r="I368" s="8"/>
      <c r="J368" s="9">
        <v>1</v>
      </c>
      <c r="K368" s="9">
        <v>688</v>
      </c>
      <c r="L368" s="9">
        <v>2022</v>
      </c>
      <c r="M368" s="8" t="s">
        <v>2154</v>
      </c>
      <c r="N368" s="8" t="s">
        <v>40</v>
      </c>
      <c r="O368" s="8" t="s">
        <v>41</v>
      </c>
      <c r="P368" s="6" t="s">
        <v>75</v>
      </c>
      <c r="Q368" s="8" t="s">
        <v>76</v>
      </c>
      <c r="R368" s="10" t="s">
        <v>1900</v>
      </c>
      <c r="S368" s="11"/>
      <c r="T368" s="6"/>
      <c r="U368" s="28" t="str">
        <f>HYPERLINK("https://media.infra-m.ru/1818/1818643/cover/1818643.jpg", "Обложка")</f>
        <v>Обложка</v>
      </c>
      <c r="V368" s="28" t="str">
        <f>HYPERLINK("https://znanium.com/catalog/product/1818643", "Ознакомиться")</f>
        <v>Ознакомиться</v>
      </c>
      <c r="W368" s="8" t="s">
        <v>700</v>
      </c>
      <c r="X368" s="6"/>
      <c r="Y368" s="6"/>
      <c r="Z368" s="6"/>
      <c r="AA368" s="6" t="s">
        <v>635</v>
      </c>
    </row>
    <row r="369" spans="1:27" s="4" customFormat="1" ht="42" customHeight="1">
      <c r="A369" s="5">
        <v>0</v>
      </c>
      <c r="B369" s="6" t="s">
        <v>2155</v>
      </c>
      <c r="C369" s="13">
        <v>2180</v>
      </c>
      <c r="D369" s="8" t="s">
        <v>2156</v>
      </c>
      <c r="E369" s="8" t="s">
        <v>2124</v>
      </c>
      <c r="F369" s="8" t="s">
        <v>2157</v>
      </c>
      <c r="G369" s="6" t="s">
        <v>58</v>
      </c>
      <c r="H369" s="6" t="s">
        <v>84</v>
      </c>
      <c r="I369" s="8" t="s">
        <v>316</v>
      </c>
      <c r="J369" s="9">
        <v>1</v>
      </c>
      <c r="K369" s="9">
        <v>482</v>
      </c>
      <c r="L369" s="9">
        <v>2023</v>
      </c>
      <c r="M369" s="8" t="s">
        <v>2158</v>
      </c>
      <c r="N369" s="8" t="s">
        <v>40</v>
      </c>
      <c r="O369" s="8" t="s">
        <v>41</v>
      </c>
      <c r="P369" s="6" t="s">
        <v>95</v>
      </c>
      <c r="Q369" s="8" t="s">
        <v>157</v>
      </c>
      <c r="R369" s="10" t="s">
        <v>340</v>
      </c>
      <c r="S369" s="11"/>
      <c r="T369" s="6" t="s">
        <v>368</v>
      </c>
      <c r="U369" s="28" t="str">
        <f>HYPERLINK("https://media.infra-m.ru/0978/0978296/cover/978296.jpg", "Обложка")</f>
        <v>Обложка</v>
      </c>
      <c r="V369" s="28" t="str">
        <f>HYPERLINK("https://znanium.com/catalog/product/978296", "Ознакомиться")</f>
        <v>Ознакомиться</v>
      </c>
      <c r="W369" s="8" t="s">
        <v>195</v>
      </c>
      <c r="X369" s="6" t="s">
        <v>645</v>
      </c>
      <c r="Y369" s="6"/>
      <c r="Z369" s="6"/>
      <c r="AA369" s="6" t="s">
        <v>408</v>
      </c>
    </row>
    <row r="370" spans="1:27" s="4" customFormat="1" ht="51.95" customHeight="1">
      <c r="A370" s="5">
        <v>0</v>
      </c>
      <c r="B370" s="6" t="s">
        <v>2159</v>
      </c>
      <c r="C370" s="13">
        <v>2090</v>
      </c>
      <c r="D370" s="8" t="s">
        <v>2160</v>
      </c>
      <c r="E370" s="8" t="s">
        <v>2161</v>
      </c>
      <c r="F370" s="8" t="s">
        <v>845</v>
      </c>
      <c r="G370" s="6" t="s">
        <v>37</v>
      </c>
      <c r="H370" s="6" t="s">
        <v>38</v>
      </c>
      <c r="I370" s="8"/>
      <c r="J370" s="9">
        <v>1</v>
      </c>
      <c r="K370" s="9">
        <v>736</v>
      </c>
      <c r="L370" s="9">
        <v>2022</v>
      </c>
      <c r="M370" s="8" t="s">
        <v>2162</v>
      </c>
      <c r="N370" s="8" t="s">
        <v>40</v>
      </c>
      <c r="O370" s="8" t="s">
        <v>41</v>
      </c>
      <c r="P370" s="6" t="s">
        <v>95</v>
      </c>
      <c r="Q370" s="8" t="s">
        <v>76</v>
      </c>
      <c r="R370" s="10" t="s">
        <v>1625</v>
      </c>
      <c r="S370" s="11"/>
      <c r="T370" s="6"/>
      <c r="U370" s="28" t="str">
        <f>HYPERLINK("https://media.infra-m.ru/1857/1857235/cover/1857235.jpg", "Обложка")</f>
        <v>Обложка</v>
      </c>
      <c r="V370" s="28" t="str">
        <f>HYPERLINK("https://znanium.com/catalog/product/1857235", "Ознакомиться")</f>
        <v>Ознакомиться</v>
      </c>
      <c r="W370" s="8" t="s">
        <v>78</v>
      </c>
      <c r="X370" s="6"/>
      <c r="Y370" s="6"/>
      <c r="Z370" s="6"/>
      <c r="AA370" s="6" t="s">
        <v>2163</v>
      </c>
    </row>
    <row r="371" spans="1:27" s="4" customFormat="1" ht="51.95" customHeight="1">
      <c r="A371" s="5">
        <v>0</v>
      </c>
      <c r="B371" s="6" t="s">
        <v>2164</v>
      </c>
      <c r="C371" s="13">
        <v>2940</v>
      </c>
      <c r="D371" s="8" t="s">
        <v>2165</v>
      </c>
      <c r="E371" s="8" t="s">
        <v>2124</v>
      </c>
      <c r="F371" s="8" t="s">
        <v>2166</v>
      </c>
      <c r="G371" s="6" t="s">
        <v>37</v>
      </c>
      <c r="H371" s="6" t="s">
        <v>38</v>
      </c>
      <c r="I371" s="8"/>
      <c r="J371" s="9">
        <v>1</v>
      </c>
      <c r="K371" s="9">
        <v>704</v>
      </c>
      <c r="L371" s="9">
        <v>2023</v>
      </c>
      <c r="M371" s="8" t="s">
        <v>2167</v>
      </c>
      <c r="N371" s="8" t="s">
        <v>40</v>
      </c>
      <c r="O371" s="8" t="s">
        <v>41</v>
      </c>
      <c r="P371" s="6" t="s">
        <v>95</v>
      </c>
      <c r="Q371" s="8" t="s">
        <v>76</v>
      </c>
      <c r="R371" s="10" t="s">
        <v>1900</v>
      </c>
      <c r="S371" s="11"/>
      <c r="T371" s="6"/>
      <c r="U371" s="28" t="str">
        <f>HYPERLINK("https://media.infra-m.ru/1913/1913611/cover/1913611.jpg", "Обложка")</f>
        <v>Обложка</v>
      </c>
      <c r="V371" s="28" t="str">
        <f>HYPERLINK("https://znanium.com/catalog/product/1913611", "Ознакомиться")</f>
        <v>Ознакомиться</v>
      </c>
      <c r="W371" s="8" t="s">
        <v>78</v>
      </c>
      <c r="X371" s="6"/>
      <c r="Y371" s="6"/>
      <c r="Z371" s="6"/>
      <c r="AA371" s="6" t="s">
        <v>2168</v>
      </c>
    </row>
    <row r="372" spans="1:27" s="4" customFormat="1" ht="51.95" customHeight="1">
      <c r="A372" s="5">
        <v>0</v>
      </c>
      <c r="B372" s="6" t="s">
        <v>2169</v>
      </c>
      <c r="C372" s="13">
        <v>2030</v>
      </c>
      <c r="D372" s="8" t="s">
        <v>2170</v>
      </c>
      <c r="E372" s="8" t="s">
        <v>2124</v>
      </c>
      <c r="F372" s="8" t="s">
        <v>882</v>
      </c>
      <c r="G372" s="6" t="s">
        <v>37</v>
      </c>
      <c r="H372" s="6" t="s">
        <v>52</v>
      </c>
      <c r="I372" s="8" t="s">
        <v>2171</v>
      </c>
      <c r="J372" s="9">
        <v>1</v>
      </c>
      <c r="K372" s="9">
        <v>451</v>
      </c>
      <c r="L372" s="9">
        <v>2023</v>
      </c>
      <c r="M372" s="8" t="s">
        <v>2172</v>
      </c>
      <c r="N372" s="8" t="s">
        <v>40</v>
      </c>
      <c r="O372" s="8" t="s">
        <v>41</v>
      </c>
      <c r="P372" s="6" t="s">
        <v>95</v>
      </c>
      <c r="Q372" s="8" t="s">
        <v>680</v>
      </c>
      <c r="R372" s="10" t="s">
        <v>1900</v>
      </c>
      <c r="S372" s="11"/>
      <c r="T372" s="6"/>
      <c r="U372" s="28" t="str">
        <f>HYPERLINK("https://media.infra-m.ru/1976/1976204/cover/1976204.jpg", "Обложка")</f>
        <v>Обложка</v>
      </c>
      <c r="V372" s="12"/>
      <c r="W372" s="8" t="s">
        <v>884</v>
      </c>
      <c r="X372" s="6"/>
      <c r="Y372" s="6"/>
      <c r="Z372" s="6"/>
      <c r="AA372" s="6" t="s">
        <v>343</v>
      </c>
    </row>
    <row r="373" spans="1:27" s="4" customFormat="1" ht="51.95" customHeight="1">
      <c r="A373" s="5">
        <v>0</v>
      </c>
      <c r="B373" s="6" t="s">
        <v>2173</v>
      </c>
      <c r="C373" s="13">
        <v>1894</v>
      </c>
      <c r="D373" s="8" t="s">
        <v>2174</v>
      </c>
      <c r="E373" s="8" t="s">
        <v>2161</v>
      </c>
      <c r="F373" s="8" t="s">
        <v>2175</v>
      </c>
      <c r="G373" s="6" t="s">
        <v>58</v>
      </c>
      <c r="H373" s="6" t="s">
        <v>38</v>
      </c>
      <c r="I373" s="8"/>
      <c r="J373" s="9">
        <v>1</v>
      </c>
      <c r="K373" s="9">
        <v>800</v>
      </c>
      <c r="L373" s="9">
        <v>2023</v>
      </c>
      <c r="M373" s="8" t="s">
        <v>2176</v>
      </c>
      <c r="N373" s="8" t="s">
        <v>40</v>
      </c>
      <c r="O373" s="8" t="s">
        <v>41</v>
      </c>
      <c r="P373" s="6" t="s">
        <v>95</v>
      </c>
      <c r="Q373" s="8" t="s">
        <v>76</v>
      </c>
      <c r="R373" s="10" t="s">
        <v>1625</v>
      </c>
      <c r="S373" s="11"/>
      <c r="T373" s="6"/>
      <c r="U373" s="28" t="str">
        <f>HYPERLINK("https://media.infra-m.ru/1852/1852237/cover/1852237.jpg", "Обложка")</f>
        <v>Обложка</v>
      </c>
      <c r="V373" s="28" t="str">
        <f>HYPERLINK("https://znanium.com/catalog/product/989952", "Ознакомиться")</f>
        <v>Ознакомиться</v>
      </c>
      <c r="W373" s="8" t="s">
        <v>45</v>
      </c>
      <c r="X373" s="6"/>
      <c r="Y373" s="6"/>
      <c r="Z373" s="6"/>
      <c r="AA373" s="6" t="s">
        <v>559</v>
      </c>
    </row>
    <row r="374" spans="1:27" s="4" customFormat="1" ht="51.95" customHeight="1">
      <c r="A374" s="5">
        <v>0</v>
      </c>
      <c r="B374" s="6" t="s">
        <v>2177</v>
      </c>
      <c r="C374" s="7">
        <v>344.9</v>
      </c>
      <c r="D374" s="8" t="s">
        <v>2178</v>
      </c>
      <c r="E374" s="8" t="s">
        <v>2179</v>
      </c>
      <c r="F374" s="8" t="s">
        <v>2180</v>
      </c>
      <c r="G374" s="6" t="s">
        <v>51</v>
      </c>
      <c r="H374" s="6" t="s">
        <v>52</v>
      </c>
      <c r="I374" s="8"/>
      <c r="J374" s="9">
        <v>1</v>
      </c>
      <c r="K374" s="9">
        <v>141</v>
      </c>
      <c r="L374" s="9">
        <v>2020</v>
      </c>
      <c r="M374" s="8" t="s">
        <v>2181</v>
      </c>
      <c r="N374" s="8" t="s">
        <v>40</v>
      </c>
      <c r="O374" s="8" t="s">
        <v>41</v>
      </c>
      <c r="P374" s="6" t="s">
        <v>75</v>
      </c>
      <c r="Q374" s="8" t="s">
        <v>76</v>
      </c>
      <c r="R374" s="10" t="s">
        <v>2182</v>
      </c>
      <c r="S374" s="11"/>
      <c r="T374" s="6"/>
      <c r="U374" s="28" t="str">
        <f>HYPERLINK("https://media.infra-m.ru/1090/1090357/cover/1090357.jpg", "Обложка")</f>
        <v>Обложка</v>
      </c>
      <c r="V374" s="28" t="str">
        <f>HYPERLINK("https://znanium.com/catalog/product/911533", "Ознакомиться")</f>
        <v>Ознакомиться</v>
      </c>
      <c r="W374" s="8"/>
      <c r="X374" s="6"/>
      <c r="Y374" s="6"/>
      <c r="Z374" s="6"/>
      <c r="AA374" s="6" t="s">
        <v>2139</v>
      </c>
    </row>
    <row r="375" spans="1:27" s="4" customFormat="1" ht="51.95" customHeight="1">
      <c r="A375" s="5">
        <v>0</v>
      </c>
      <c r="B375" s="6" t="s">
        <v>2183</v>
      </c>
      <c r="C375" s="13">
        <v>2194</v>
      </c>
      <c r="D375" s="8" t="s">
        <v>2184</v>
      </c>
      <c r="E375" s="8" t="s">
        <v>2185</v>
      </c>
      <c r="F375" s="8" t="s">
        <v>2186</v>
      </c>
      <c r="G375" s="6" t="s">
        <v>58</v>
      </c>
      <c r="H375" s="6" t="s">
        <v>38</v>
      </c>
      <c r="I375" s="8"/>
      <c r="J375" s="9">
        <v>1</v>
      </c>
      <c r="K375" s="9">
        <v>672</v>
      </c>
      <c r="L375" s="9">
        <v>2024</v>
      </c>
      <c r="M375" s="8" t="s">
        <v>2187</v>
      </c>
      <c r="N375" s="8" t="s">
        <v>40</v>
      </c>
      <c r="O375" s="8" t="s">
        <v>41</v>
      </c>
      <c r="P375" s="6" t="s">
        <v>95</v>
      </c>
      <c r="Q375" s="8" t="s">
        <v>76</v>
      </c>
      <c r="R375" s="10" t="s">
        <v>2188</v>
      </c>
      <c r="S375" s="11" t="s">
        <v>2189</v>
      </c>
      <c r="T375" s="6"/>
      <c r="U375" s="28" t="str">
        <f>HYPERLINK("https://media.infra-m.ru/2054/2054992/cover/2054992.jpg", "Обложка")</f>
        <v>Обложка</v>
      </c>
      <c r="V375" s="28" t="str">
        <f>HYPERLINK("https://znanium.com/catalog/product/1229729", "Ознакомиться")</f>
        <v>Ознакомиться</v>
      </c>
      <c r="W375" s="8" t="s">
        <v>535</v>
      </c>
      <c r="X375" s="6"/>
      <c r="Y375" s="6"/>
      <c r="Z375" s="6"/>
      <c r="AA375" s="6" t="s">
        <v>196</v>
      </c>
    </row>
    <row r="376" spans="1:27" s="4" customFormat="1" ht="44.1" customHeight="1">
      <c r="A376" s="5">
        <v>0</v>
      </c>
      <c r="B376" s="6" t="s">
        <v>2190</v>
      </c>
      <c r="C376" s="13">
        <v>2800</v>
      </c>
      <c r="D376" s="8" t="s">
        <v>2191</v>
      </c>
      <c r="E376" s="8" t="s">
        <v>2192</v>
      </c>
      <c r="F376" s="8" t="s">
        <v>2193</v>
      </c>
      <c r="G376" s="6" t="s">
        <v>58</v>
      </c>
      <c r="H376" s="6" t="s">
        <v>38</v>
      </c>
      <c r="I376" s="8"/>
      <c r="J376" s="9">
        <v>1</v>
      </c>
      <c r="K376" s="9">
        <v>640</v>
      </c>
      <c r="L376" s="9">
        <v>2024</v>
      </c>
      <c r="M376" s="8" t="s">
        <v>2194</v>
      </c>
      <c r="N376" s="8" t="s">
        <v>40</v>
      </c>
      <c r="O376" s="8" t="s">
        <v>41</v>
      </c>
      <c r="P376" s="6" t="s">
        <v>42</v>
      </c>
      <c r="Q376" s="8" t="s">
        <v>43</v>
      </c>
      <c r="R376" s="10" t="s">
        <v>2195</v>
      </c>
      <c r="S376" s="11"/>
      <c r="T376" s="6"/>
      <c r="U376" s="28" t="str">
        <f>HYPERLINK("https://media.infra-m.ru/2048/2048111/cover/2048111.jpg", "Обложка")</f>
        <v>Обложка</v>
      </c>
      <c r="V376" s="28" t="str">
        <f>HYPERLINK("https://znanium.com/catalog/product/2048111", "Ознакомиться")</f>
        <v>Ознакомиться</v>
      </c>
      <c r="W376" s="8" t="s">
        <v>1400</v>
      </c>
      <c r="X376" s="6"/>
      <c r="Y376" s="6"/>
      <c r="Z376" s="6"/>
      <c r="AA376" s="6" t="s">
        <v>88</v>
      </c>
    </row>
    <row r="377" spans="1:27" s="4" customFormat="1" ht="42" customHeight="1">
      <c r="A377" s="5">
        <v>0</v>
      </c>
      <c r="B377" s="6" t="s">
        <v>2196</v>
      </c>
      <c r="C377" s="13">
        <v>2381</v>
      </c>
      <c r="D377" s="8" t="s">
        <v>2197</v>
      </c>
      <c r="E377" s="8" t="s">
        <v>2198</v>
      </c>
      <c r="F377" s="8" t="s">
        <v>799</v>
      </c>
      <c r="G377" s="6" t="s">
        <v>58</v>
      </c>
      <c r="H377" s="6" t="s">
        <v>38</v>
      </c>
      <c r="I377" s="8"/>
      <c r="J377" s="9">
        <v>1</v>
      </c>
      <c r="K377" s="9">
        <v>672</v>
      </c>
      <c r="L377" s="9">
        <v>2022</v>
      </c>
      <c r="M377" s="8" t="s">
        <v>2199</v>
      </c>
      <c r="N377" s="8" t="s">
        <v>40</v>
      </c>
      <c r="O377" s="8" t="s">
        <v>41</v>
      </c>
      <c r="P377" s="6" t="s">
        <v>42</v>
      </c>
      <c r="Q377" s="8" t="s">
        <v>43</v>
      </c>
      <c r="R377" s="10" t="s">
        <v>304</v>
      </c>
      <c r="S377" s="11"/>
      <c r="T377" s="6"/>
      <c r="U377" s="28" t="str">
        <f>HYPERLINK("https://media.infra-m.ru/1878/1878147/cover/1878147.jpg", "Обложка")</f>
        <v>Обложка</v>
      </c>
      <c r="V377" s="12"/>
      <c r="W377" s="8"/>
      <c r="X377" s="6"/>
      <c r="Y377" s="6"/>
      <c r="Z377" s="6"/>
      <c r="AA377" s="6" t="s">
        <v>79</v>
      </c>
    </row>
    <row r="378" spans="1:27" s="4" customFormat="1" ht="51.95" customHeight="1">
      <c r="A378" s="5">
        <v>0</v>
      </c>
      <c r="B378" s="6" t="s">
        <v>2200</v>
      </c>
      <c r="C378" s="13">
        <v>1980</v>
      </c>
      <c r="D378" s="8" t="s">
        <v>2201</v>
      </c>
      <c r="E378" s="8" t="s">
        <v>2202</v>
      </c>
      <c r="F378" s="8" t="s">
        <v>2203</v>
      </c>
      <c r="G378" s="6" t="s">
        <v>58</v>
      </c>
      <c r="H378" s="6" t="s">
        <v>38</v>
      </c>
      <c r="I378" s="8"/>
      <c r="J378" s="9">
        <v>1</v>
      </c>
      <c r="K378" s="9">
        <v>696</v>
      </c>
      <c r="L378" s="9">
        <v>2022</v>
      </c>
      <c r="M378" s="8" t="s">
        <v>2204</v>
      </c>
      <c r="N378" s="8" t="s">
        <v>40</v>
      </c>
      <c r="O378" s="8" t="s">
        <v>41</v>
      </c>
      <c r="P378" s="6" t="s">
        <v>42</v>
      </c>
      <c r="Q378" s="8"/>
      <c r="R378" s="10" t="s">
        <v>2205</v>
      </c>
      <c r="S378" s="11"/>
      <c r="T378" s="6"/>
      <c r="U378" s="28" t="str">
        <f>HYPERLINK("https://media.infra-m.ru/1878/1878148/cover/1878148.jpg", "Обложка")</f>
        <v>Обложка</v>
      </c>
      <c r="V378" s="12"/>
      <c r="W378" s="8"/>
      <c r="X378" s="6"/>
      <c r="Y378" s="6"/>
      <c r="Z378" s="6"/>
      <c r="AA378" s="6" t="s">
        <v>115</v>
      </c>
    </row>
    <row r="379" spans="1:27" s="4" customFormat="1" ht="42" customHeight="1">
      <c r="A379" s="5">
        <v>0</v>
      </c>
      <c r="B379" s="6" t="s">
        <v>2206</v>
      </c>
      <c r="C379" s="13">
        <v>2681</v>
      </c>
      <c r="D379" s="8" t="s">
        <v>2207</v>
      </c>
      <c r="E379" s="8" t="s">
        <v>2208</v>
      </c>
      <c r="F379" s="8" t="s">
        <v>2073</v>
      </c>
      <c r="G379" s="6" t="s">
        <v>58</v>
      </c>
      <c r="H379" s="6" t="s">
        <v>38</v>
      </c>
      <c r="I379" s="8"/>
      <c r="J379" s="9">
        <v>1</v>
      </c>
      <c r="K379" s="9">
        <v>688</v>
      </c>
      <c r="L379" s="9">
        <v>2023</v>
      </c>
      <c r="M379" s="8" t="s">
        <v>2209</v>
      </c>
      <c r="N379" s="8" t="s">
        <v>40</v>
      </c>
      <c r="O379" s="8" t="s">
        <v>41</v>
      </c>
      <c r="P379" s="6" t="s">
        <v>42</v>
      </c>
      <c r="Q379" s="8" t="s">
        <v>43</v>
      </c>
      <c r="R379" s="10" t="s">
        <v>304</v>
      </c>
      <c r="S379" s="11"/>
      <c r="T379" s="6"/>
      <c r="U379" s="28" t="str">
        <f>HYPERLINK("https://media.infra-m.ru/1914/1914548/cover/1914548.jpg", "Обложка")</f>
        <v>Обложка</v>
      </c>
      <c r="V379" s="12"/>
      <c r="W379" s="8" t="s">
        <v>712</v>
      </c>
      <c r="X379" s="6"/>
      <c r="Y379" s="6"/>
      <c r="Z379" s="6"/>
      <c r="AA379" s="6" t="s">
        <v>148</v>
      </c>
    </row>
    <row r="380" spans="1:27" s="4" customFormat="1" ht="44.1" customHeight="1">
      <c r="A380" s="5">
        <v>0</v>
      </c>
      <c r="B380" s="6" t="s">
        <v>2210</v>
      </c>
      <c r="C380" s="13">
        <v>1815</v>
      </c>
      <c r="D380" s="8" t="s">
        <v>2211</v>
      </c>
      <c r="E380" s="8" t="s">
        <v>2212</v>
      </c>
      <c r="F380" s="8" t="s">
        <v>2213</v>
      </c>
      <c r="G380" s="6" t="s">
        <v>58</v>
      </c>
      <c r="H380" s="6" t="s">
        <v>38</v>
      </c>
      <c r="I380" s="8"/>
      <c r="J380" s="9">
        <v>1</v>
      </c>
      <c r="K380" s="9">
        <v>672</v>
      </c>
      <c r="L380" s="9">
        <v>2024</v>
      </c>
      <c r="M380" s="8" t="s">
        <v>2214</v>
      </c>
      <c r="N380" s="8" t="s">
        <v>40</v>
      </c>
      <c r="O380" s="8" t="s">
        <v>41</v>
      </c>
      <c r="P380" s="6" t="s">
        <v>42</v>
      </c>
      <c r="Q380" s="8" t="s">
        <v>43</v>
      </c>
      <c r="R380" s="10" t="s">
        <v>2215</v>
      </c>
      <c r="S380" s="11"/>
      <c r="T380" s="6"/>
      <c r="U380" s="28" t="str">
        <f>HYPERLINK("https://media.infra-m.ru/2099/2099575/cover/2099575.jpg", "Обложка")</f>
        <v>Обложка</v>
      </c>
      <c r="V380" s="12"/>
      <c r="W380" s="8" t="s">
        <v>195</v>
      </c>
      <c r="X380" s="6"/>
      <c r="Y380" s="6"/>
      <c r="Z380" s="6"/>
      <c r="AA380" s="6" t="s">
        <v>79</v>
      </c>
    </row>
    <row r="381" spans="1:27" s="4" customFormat="1" ht="44.1" customHeight="1">
      <c r="A381" s="5">
        <v>0</v>
      </c>
      <c r="B381" s="6" t="s">
        <v>2216</v>
      </c>
      <c r="C381" s="13">
        <v>1981</v>
      </c>
      <c r="D381" s="8" t="s">
        <v>2217</v>
      </c>
      <c r="E381" s="8" t="s">
        <v>2218</v>
      </c>
      <c r="F381" s="8" t="s">
        <v>2219</v>
      </c>
      <c r="G381" s="6" t="s">
        <v>58</v>
      </c>
      <c r="H381" s="6" t="s">
        <v>38</v>
      </c>
      <c r="I381" s="8"/>
      <c r="J381" s="9">
        <v>1</v>
      </c>
      <c r="K381" s="9">
        <v>448</v>
      </c>
      <c r="L381" s="9">
        <v>2023</v>
      </c>
      <c r="M381" s="8" t="s">
        <v>2220</v>
      </c>
      <c r="N381" s="8" t="s">
        <v>40</v>
      </c>
      <c r="O381" s="8" t="s">
        <v>41</v>
      </c>
      <c r="P381" s="6" t="s">
        <v>42</v>
      </c>
      <c r="Q381" s="8" t="s">
        <v>43</v>
      </c>
      <c r="R381" s="10" t="s">
        <v>2221</v>
      </c>
      <c r="S381" s="11"/>
      <c r="T381" s="6"/>
      <c r="U381" s="28" t="str">
        <f>HYPERLINK("https://media.infra-m.ru/1914/1914549/cover/1914549.jpg", "Обложка")</f>
        <v>Обложка</v>
      </c>
      <c r="V381" s="12"/>
      <c r="W381" s="8" t="s">
        <v>712</v>
      </c>
      <c r="X381" s="6"/>
      <c r="Y381" s="6"/>
      <c r="Z381" s="6"/>
      <c r="AA381" s="6" t="s">
        <v>408</v>
      </c>
    </row>
    <row r="382" spans="1:27" s="4" customFormat="1" ht="51.95" customHeight="1">
      <c r="A382" s="5">
        <v>0</v>
      </c>
      <c r="B382" s="6" t="s">
        <v>2222</v>
      </c>
      <c r="C382" s="13">
        <v>2051</v>
      </c>
      <c r="D382" s="8" t="s">
        <v>2223</v>
      </c>
      <c r="E382" s="8" t="s">
        <v>2224</v>
      </c>
      <c r="F382" s="8" t="s">
        <v>2225</v>
      </c>
      <c r="G382" s="6" t="s">
        <v>58</v>
      </c>
      <c r="H382" s="6" t="s">
        <v>38</v>
      </c>
      <c r="I382" s="8"/>
      <c r="J382" s="9">
        <v>1</v>
      </c>
      <c r="K382" s="9">
        <v>688</v>
      </c>
      <c r="L382" s="9">
        <v>2022</v>
      </c>
      <c r="M382" s="8" t="s">
        <v>2226</v>
      </c>
      <c r="N382" s="8" t="s">
        <v>40</v>
      </c>
      <c r="O382" s="8" t="s">
        <v>41</v>
      </c>
      <c r="P382" s="6" t="s">
        <v>42</v>
      </c>
      <c r="Q382" s="8" t="s">
        <v>43</v>
      </c>
      <c r="R382" s="10" t="s">
        <v>2227</v>
      </c>
      <c r="S382" s="11"/>
      <c r="T382" s="6"/>
      <c r="U382" s="28" t="str">
        <f>HYPERLINK("https://media.infra-m.ru/2087/2087323/cover/2087323.jpg", "Обложка")</f>
        <v>Обложка</v>
      </c>
      <c r="V382" s="12"/>
      <c r="W382" s="8" t="s">
        <v>712</v>
      </c>
      <c r="X382" s="6"/>
      <c r="Y382" s="6"/>
      <c r="Z382" s="6"/>
      <c r="AA382" s="6" t="s">
        <v>62</v>
      </c>
    </row>
    <row r="383" spans="1:27" s="4" customFormat="1" ht="42" customHeight="1">
      <c r="A383" s="5">
        <v>0</v>
      </c>
      <c r="B383" s="6" t="s">
        <v>2228</v>
      </c>
      <c r="C383" s="13">
        <v>1980</v>
      </c>
      <c r="D383" s="8" t="s">
        <v>2229</v>
      </c>
      <c r="E383" s="8" t="s">
        <v>2230</v>
      </c>
      <c r="F383" s="8" t="s">
        <v>2073</v>
      </c>
      <c r="G383" s="6" t="s">
        <v>58</v>
      </c>
      <c r="H383" s="6" t="s">
        <v>38</v>
      </c>
      <c r="I383" s="8"/>
      <c r="J383" s="9">
        <v>1</v>
      </c>
      <c r="K383" s="9">
        <v>664</v>
      </c>
      <c r="L383" s="9">
        <v>2024</v>
      </c>
      <c r="M383" s="8" t="s">
        <v>2231</v>
      </c>
      <c r="N383" s="8" t="s">
        <v>40</v>
      </c>
      <c r="O383" s="8" t="s">
        <v>41</v>
      </c>
      <c r="P383" s="6" t="s">
        <v>42</v>
      </c>
      <c r="Q383" s="8" t="s">
        <v>43</v>
      </c>
      <c r="R383" s="10" t="s">
        <v>1339</v>
      </c>
      <c r="S383" s="11"/>
      <c r="T383" s="6"/>
      <c r="U383" s="28" t="str">
        <f>HYPERLINK("https://media.infra-m.ru/2123/2123352/cover/2123352.jpg", "Обложка")</f>
        <v>Обложка</v>
      </c>
      <c r="V383" s="12"/>
      <c r="W383" s="8" t="s">
        <v>712</v>
      </c>
      <c r="X383" s="6"/>
      <c r="Y383" s="6"/>
      <c r="Z383" s="6"/>
      <c r="AA383" s="6" t="s">
        <v>115</v>
      </c>
    </row>
    <row r="384" spans="1:27" s="4" customFormat="1" ht="42" customHeight="1">
      <c r="A384" s="5">
        <v>0</v>
      </c>
      <c r="B384" s="6" t="s">
        <v>2232</v>
      </c>
      <c r="C384" s="13">
        <v>2291</v>
      </c>
      <c r="D384" s="8" t="s">
        <v>2233</v>
      </c>
      <c r="E384" s="8" t="s">
        <v>2234</v>
      </c>
      <c r="F384" s="8" t="s">
        <v>2235</v>
      </c>
      <c r="G384" s="6" t="s">
        <v>58</v>
      </c>
      <c r="H384" s="6" t="s">
        <v>38</v>
      </c>
      <c r="I384" s="8"/>
      <c r="J384" s="9">
        <v>1</v>
      </c>
      <c r="K384" s="9">
        <v>632</v>
      </c>
      <c r="L384" s="9">
        <v>2022</v>
      </c>
      <c r="M384" s="8" t="s">
        <v>2236</v>
      </c>
      <c r="N384" s="8" t="s">
        <v>40</v>
      </c>
      <c r="O384" s="8" t="s">
        <v>41</v>
      </c>
      <c r="P384" s="6" t="s">
        <v>42</v>
      </c>
      <c r="Q384" s="8" t="s">
        <v>43</v>
      </c>
      <c r="R384" s="10" t="s">
        <v>1394</v>
      </c>
      <c r="S384" s="11"/>
      <c r="T384" s="6"/>
      <c r="U384" s="28" t="str">
        <f>HYPERLINK("https://media.infra-m.ru/1906/1906580/cover/1906580.jpg", "Обложка")</f>
        <v>Обложка</v>
      </c>
      <c r="V384" s="12"/>
      <c r="W384" s="8"/>
      <c r="X384" s="6"/>
      <c r="Y384" s="6"/>
      <c r="Z384" s="6"/>
      <c r="AA384" s="6" t="s">
        <v>343</v>
      </c>
    </row>
    <row r="385" spans="1:27" s="4" customFormat="1" ht="42" customHeight="1">
      <c r="A385" s="5">
        <v>0</v>
      </c>
      <c r="B385" s="6" t="s">
        <v>2237</v>
      </c>
      <c r="C385" s="13">
        <v>1710</v>
      </c>
      <c r="D385" s="8" t="s">
        <v>2238</v>
      </c>
      <c r="E385" s="8" t="s">
        <v>2239</v>
      </c>
      <c r="F385" s="8" t="s">
        <v>2240</v>
      </c>
      <c r="G385" s="6" t="s">
        <v>58</v>
      </c>
      <c r="H385" s="6" t="s">
        <v>84</v>
      </c>
      <c r="I385" s="8" t="s">
        <v>251</v>
      </c>
      <c r="J385" s="9">
        <v>1</v>
      </c>
      <c r="K385" s="9">
        <v>380</v>
      </c>
      <c r="L385" s="9">
        <v>2023</v>
      </c>
      <c r="M385" s="8" t="s">
        <v>2241</v>
      </c>
      <c r="N385" s="8" t="s">
        <v>40</v>
      </c>
      <c r="O385" s="8" t="s">
        <v>41</v>
      </c>
      <c r="P385" s="6" t="s">
        <v>42</v>
      </c>
      <c r="Q385" s="8" t="s">
        <v>43</v>
      </c>
      <c r="R385" s="10" t="s">
        <v>2242</v>
      </c>
      <c r="S385" s="11"/>
      <c r="T385" s="6"/>
      <c r="U385" s="28" t="str">
        <f>HYPERLINK("https://media.infra-m.ru/1898/1898398/cover/1898398.jpg", "Обложка")</f>
        <v>Обложка</v>
      </c>
      <c r="V385" s="28" t="str">
        <f>HYPERLINK("https://znanium.com/catalog/product/1898398", "Ознакомиться")</f>
        <v>Ознакомиться</v>
      </c>
      <c r="W385" s="8" t="s">
        <v>621</v>
      </c>
      <c r="X385" s="6" t="s">
        <v>904</v>
      </c>
      <c r="Y385" s="6"/>
      <c r="Z385" s="6"/>
      <c r="AA385" s="6" t="s">
        <v>408</v>
      </c>
    </row>
    <row r="386" spans="1:27" s="4" customFormat="1" ht="51.95" customHeight="1">
      <c r="A386" s="5">
        <v>0</v>
      </c>
      <c r="B386" s="6" t="s">
        <v>2243</v>
      </c>
      <c r="C386" s="13">
        <v>2050</v>
      </c>
      <c r="D386" s="8" t="s">
        <v>2244</v>
      </c>
      <c r="E386" s="8" t="s">
        <v>2245</v>
      </c>
      <c r="F386" s="8" t="s">
        <v>2246</v>
      </c>
      <c r="G386" s="6" t="s">
        <v>37</v>
      </c>
      <c r="H386" s="6" t="s">
        <v>84</v>
      </c>
      <c r="I386" s="8" t="s">
        <v>251</v>
      </c>
      <c r="J386" s="9">
        <v>1</v>
      </c>
      <c r="K386" s="9">
        <v>452</v>
      </c>
      <c r="L386" s="9">
        <v>2023</v>
      </c>
      <c r="M386" s="8" t="s">
        <v>2247</v>
      </c>
      <c r="N386" s="8" t="s">
        <v>40</v>
      </c>
      <c r="O386" s="8" t="s">
        <v>41</v>
      </c>
      <c r="P386" s="6" t="s">
        <v>42</v>
      </c>
      <c r="Q386" s="8" t="s">
        <v>43</v>
      </c>
      <c r="R386" s="10" t="s">
        <v>2248</v>
      </c>
      <c r="S386" s="11"/>
      <c r="T386" s="6"/>
      <c r="U386" s="28" t="str">
        <f>HYPERLINK("https://media.infra-m.ru/1904/1904566/cover/1904566.jpg", "Обложка")</f>
        <v>Обложка</v>
      </c>
      <c r="V386" s="28" t="str">
        <f>HYPERLINK("https://znanium.com/catalog/product/1904566", "Ознакомиться")</f>
        <v>Ознакомиться</v>
      </c>
      <c r="W386" s="8" t="s">
        <v>2249</v>
      </c>
      <c r="X386" s="6"/>
      <c r="Y386" s="6"/>
      <c r="Z386" s="6"/>
      <c r="AA386" s="6" t="s">
        <v>343</v>
      </c>
    </row>
    <row r="387" spans="1:27" s="4" customFormat="1" ht="51.95" customHeight="1">
      <c r="A387" s="5">
        <v>0</v>
      </c>
      <c r="B387" s="6" t="s">
        <v>2250</v>
      </c>
      <c r="C387" s="13">
        <v>1994.9</v>
      </c>
      <c r="D387" s="8" t="s">
        <v>2251</v>
      </c>
      <c r="E387" s="8" t="s">
        <v>2252</v>
      </c>
      <c r="F387" s="8" t="s">
        <v>2253</v>
      </c>
      <c r="G387" s="6" t="s">
        <v>58</v>
      </c>
      <c r="H387" s="6" t="s">
        <v>400</v>
      </c>
      <c r="I387" s="8"/>
      <c r="J387" s="9">
        <v>1</v>
      </c>
      <c r="K387" s="9">
        <v>672</v>
      </c>
      <c r="L387" s="9">
        <v>2023</v>
      </c>
      <c r="M387" s="8" t="s">
        <v>2254</v>
      </c>
      <c r="N387" s="8" t="s">
        <v>40</v>
      </c>
      <c r="O387" s="8" t="s">
        <v>41</v>
      </c>
      <c r="P387" s="6" t="s">
        <v>75</v>
      </c>
      <c r="Q387" s="8" t="s">
        <v>76</v>
      </c>
      <c r="R387" s="10" t="s">
        <v>2255</v>
      </c>
      <c r="S387" s="11" t="s">
        <v>2256</v>
      </c>
      <c r="T387" s="6"/>
      <c r="U387" s="12"/>
      <c r="V387" s="28" t="str">
        <f>HYPERLINK("https://znanium.com/catalog/product/1240759", "Ознакомиться")</f>
        <v>Ознакомиться</v>
      </c>
      <c r="W387" s="8" t="s">
        <v>414</v>
      </c>
      <c r="X387" s="6"/>
      <c r="Y387" s="6"/>
      <c r="Z387" s="6"/>
      <c r="AA387" s="6" t="s">
        <v>327</v>
      </c>
    </row>
    <row r="388" spans="1:27" s="4" customFormat="1" ht="51.95" customHeight="1">
      <c r="A388" s="5">
        <v>0</v>
      </c>
      <c r="B388" s="6" t="s">
        <v>2257</v>
      </c>
      <c r="C388" s="13">
        <v>1590</v>
      </c>
      <c r="D388" s="8" t="s">
        <v>2258</v>
      </c>
      <c r="E388" s="8" t="s">
        <v>2259</v>
      </c>
      <c r="F388" s="8" t="s">
        <v>2260</v>
      </c>
      <c r="G388" s="6" t="s">
        <v>37</v>
      </c>
      <c r="H388" s="6" t="s">
        <v>84</v>
      </c>
      <c r="I388" s="8" t="s">
        <v>85</v>
      </c>
      <c r="J388" s="9">
        <v>1</v>
      </c>
      <c r="K388" s="9">
        <v>344</v>
      </c>
      <c r="L388" s="9">
        <v>2023</v>
      </c>
      <c r="M388" s="8" t="s">
        <v>2261</v>
      </c>
      <c r="N388" s="8" t="s">
        <v>40</v>
      </c>
      <c r="O388" s="8" t="s">
        <v>41</v>
      </c>
      <c r="P388" s="6" t="s">
        <v>42</v>
      </c>
      <c r="Q388" s="8" t="s">
        <v>43</v>
      </c>
      <c r="R388" s="10" t="s">
        <v>2262</v>
      </c>
      <c r="S388" s="11"/>
      <c r="T388" s="6"/>
      <c r="U388" s="28" t="str">
        <f>HYPERLINK("https://media.infra-m.ru/2016/2016235/cover/2016235.jpg", "Обложка")</f>
        <v>Обложка</v>
      </c>
      <c r="V388" s="28" t="str">
        <f>HYPERLINK("https://znanium.com/catalog/product/1913253", "Ознакомиться")</f>
        <v>Ознакомиться</v>
      </c>
      <c r="W388" s="8" t="s">
        <v>114</v>
      </c>
      <c r="X388" s="6"/>
      <c r="Y388" s="6"/>
      <c r="Z388" s="6"/>
      <c r="AA388" s="6" t="s">
        <v>408</v>
      </c>
    </row>
    <row r="389" spans="1:27" s="4" customFormat="1" ht="51.95" customHeight="1">
      <c r="A389" s="5">
        <v>0</v>
      </c>
      <c r="B389" s="6" t="s">
        <v>2263</v>
      </c>
      <c r="C389" s="7">
        <v>880</v>
      </c>
      <c r="D389" s="8" t="s">
        <v>2264</v>
      </c>
      <c r="E389" s="8" t="s">
        <v>2265</v>
      </c>
      <c r="F389" s="8" t="s">
        <v>2266</v>
      </c>
      <c r="G389" s="6" t="s">
        <v>37</v>
      </c>
      <c r="H389" s="6" t="s">
        <v>84</v>
      </c>
      <c r="I389" s="8" t="s">
        <v>185</v>
      </c>
      <c r="J389" s="9">
        <v>1</v>
      </c>
      <c r="K389" s="9">
        <v>195</v>
      </c>
      <c r="L389" s="9">
        <v>2023</v>
      </c>
      <c r="M389" s="8" t="s">
        <v>2267</v>
      </c>
      <c r="N389" s="8" t="s">
        <v>40</v>
      </c>
      <c r="O389" s="8" t="s">
        <v>41</v>
      </c>
      <c r="P389" s="6" t="s">
        <v>75</v>
      </c>
      <c r="Q389" s="8" t="s">
        <v>76</v>
      </c>
      <c r="R389" s="10" t="s">
        <v>122</v>
      </c>
      <c r="S389" s="11" t="s">
        <v>2268</v>
      </c>
      <c r="T389" s="6" t="s">
        <v>368</v>
      </c>
      <c r="U389" s="28" t="str">
        <f>HYPERLINK("https://media.infra-m.ru/1895/1895091/cover/1895091.jpg", "Обложка")</f>
        <v>Обложка</v>
      </c>
      <c r="V389" s="28" t="str">
        <f>HYPERLINK("https://znanium.com/catalog/product/1895091", "Ознакомиться")</f>
        <v>Ознакомиться</v>
      </c>
      <c r="W389" s="8" t="s">
        <v>78</v>
      </c>
      <c r="X389" s="6"/>
      <c r="Y389" s="6"/>
      <c r="Z389" s="6"/>
      <c r="AA389" s="6" t="s">
        <v>115</v>
      </c>
    </row>
    <row r="390" spans="1:27" s="4" customFormat="1" ht="51.95" customHeight="1">
      <c r="A390" s="5">
        <v>0</v>
      </c>
      <c r="B390" s="6" t="s">
        <v>2269</v>
      </c>
      <c r="C390" s="13">
        <v>1000</v>
      </c>
      <c r="D390" s="8" t="s">
        <v>2270</v>
      </c>
      <c r="E390" s="8" t="s">
        <v>2271</v>
      </c>
      <c r="F390" s="8" t="s">
        <v>2272</v>
      </c>
      <c r="G390" s="6" t="s">
        <v>37</v>
      </c>
      <c r="H390" s="6" t="s">
        <v>272</v>
      </c>
      <c r="I390" s="8" t="s">
        <v>185</v>
      </c>
      <c r="J390" s="9">
        <v>1</v>
      </c>
      <c r="K390" s="9">
        <v>279</v>
      </c>
      <c r="L390" s="9">
        <v>2021</v>
      </c>
      <c r="M390" s="8" t="s">
        <v>2273</v>
      </c>
      <c r="N390" s="8" t="s">
        <v>40</v>
      </c>
      <c r="O390" s="8" t="s">
        <v>41</v>
      </c>
      <c r="P390" s="6" t="s">
        <v>95</v>
      </c>
      <c r="Q390" s="8" t="s">
        <v>76</v>
      </c>
      <c r="R390" s="10" t="s">
        <v>2274</v>
      </c>
      <c r="S390" s="11" t="s">
        <v>2275</v>
      </c>
      <c r="T390" s="6"/>
      <c r="U390" s="28" t="str">
        <f>HYPERLINK("https://media.infra-m.ru/1234/1234132/cover/1234132.jpg", "Обложка")</f>
        <v>Обложка</v>
      </c>
      <c r="V390" s="28" t="str">
        <f>HYPERLINK("https://znanium.com/catalog/product/1234132", "Ознакомиться")</f>
        <v>Ознакомиться</v>
      </c>
      <c r="W390" s="8" t="s">
        <v>1568</v>
      </c>
      <c r="X390" s="6"/>
      <c r="Y390" s="6"/>
      <c r="Z390" s="6"/>
      <c r="AA390" s="6" t="s">
        <v>215</v>
      </c>
    </row>
    <row r="391" spans="1:27" s="4" customFormat="1" ht="44.1" customHeight="1">
      <c r="A391" s="5">
        <v>0</v>
      </c>
      <c r="B391" s="6" t="s">
        <v>2276</v>
      </c>
      <c r="C391" s="7">
        <v>444</v>
      </c>
      <c r="D391" s="8" t="s">
        <v>2277</v>
      </c>
      <c r="E391" s="8" t="s">
        <v>2278</v>
      </c>
      <c r="F391" s="8" t="s">
        <v>2279</v>
      </c>
      <c r="G391" s="6" t="s">
        <v>51</v>
      </c>
      <c r="H391" s="6" t="s">
        <v>38</v>
      </c>
      <c r="I391" s="8"/>
      <c r="J391" s="9">
        <v>1</v>
      </c>
      <c r="K391" s="9">
        <v>96</v>
      </c>
      <c r="L391" s="9">
        <v>2023</v>
      </c>
      <c r="M391" s="8" t="s">
        <v>2280</v>
      </c>
      <c r="N391" s="8" t="s">
        <v>40</v>
      </c>
      <c r="O391" s="8" t="s">
        <v>41</v>
      </c>
      <c r="P391" s="6" t="s">
        <v>42</v>
      </c>
      <c r="Q391" s="8" t="s">
        <v>43</v>
      </c>
      <c r="R391" s="10" t="s">
        <v>2195</v>
      </c>
      <c r="S391" s="11"/>
      <c r="T391" s="6"/>
      <c r="U391" s="28" t="str">
        <f>HYPERLINK("https://media.infra-m.ru/2045/2045970/cover/2045970.jpg", "Обложка")</f>
        <v>Обложка</v>
      </c>
      <c r="V391" s="28" t="str">
        <f>HYPERLINK("https://znanium.com/catalog/product/1041868", "Ознакомиться")</f>
        <v>Ознакомиться</v>
      </c>
      <c r="W391" s="8" t="s">
        <v>78</v>
      </c>
      <c r="X391" s="6"/>
      <c r="Y391" s="6"/>
      <c r="Z391" s="6"/>
      <c r="AA391" s="6" t="s">
        <v>115</v>
      </c>
    </row>
    <row r="392" spans="1:27" s="4" customFormat="1" ht="42" customHeight="1">
      <c r="A392" s="5">
        <v>0</v>
      </c>
      <c r="B392" s="6" t="s">
        <v>2281</v>
      </c>
      <c r="C392" s="13">
        <v>1650</v>
      </c>
      <c r="D392" s="8" t="s">
        <v>2282</v>
      </c>
      <c r="E392" s="8" t="s">
        <v>2283</v>
      </c>
      <c r="F392" s="8" t="s">
        <v>2284</v>
      </c>
      <c r="G392" s="6" t="s">
        <v>58</v>
      </c>
      <c r="H392" s="6" t="s">
        <v>52</v>
      </c>
      <c r="I392" s="8" t="s">
        <v>1605</v>
      </c>
      <c r="J392" s="9">
        <v>1</v>
      </c>
      <c r="K392" s="9">
        <v>481</v>
      </c>
      <c r="L392" s="9">
        <v>2020</v>
      </c>
      <c r="M392" s="8" t="s">
        <v>2285</v>
      </c>
      <c r="N392" s="8" t="s">
        <v>40</v>
      </c>
      <c r="O392" s="8" t="s">
        <v>41</v>
      </c>
      <c r="P392" s="6" t="s">
        <v>42</v>
      </c>
      <c r="Q392" s="8" t="s">
        <v>43</v>
      </c>
      <c r="R392" s="10" t="s">
        <v>310</v>
      </c>
      <c r="S392" s="11"/>
      <c r="T392" s="6"/>
      <c r="U392" s="28" t="str">
        <f>HYPERLINK("https://media.infra-m.ru/1073/1073563/cover/1073563.jpg", "Обложка")</f>
        <v>Обложка</v>
      </c>
      <c r="V392" s="28" t="str">
        <f>HYPERLINK("https://znanium.com/catalog/product/923814", "Ознакомиться")</f>
        <v>Ознакомиться</v>
      </c>
      <c r="W392" s="8"/>
      <c r="X392" s="6"/>
      <c r="Y392" s="6"/>
      <c r="Z392" s="6"/>
      <c r="AA392" s="6" t="s">
        <v>1227</v>
      </c>
    </row>
    <row r="393" spans="1:27" s="4" customFormat="1" ht="42" customHeight="1">
      <c r="A393" s="5">
        <v>0</v>
      </c>
      <c r="B393" s="6" t="s">
        <v>2286</v>
      </c>
      <c r="C393" s="13">
        <v>1470</v>
      </c>
      <c r="D393" s="8" t="s">
        <v>2287</v>
      </c>
      <c r="E393" s="8" t="s">
        <v>2288</v>
      </c>
      <c r="F393" s="8" t="s">
        <v>2284</v>
      </c>
      <c r="G393" s="6" t="s">
        <v>58</v>
      </c>
      <c r="H393" s="6" t="s">
        <v>52</v>
      </c>
      <c r="I393" s="8" t="s">
        <v>1605</v>
      </c>
      <c r="J393" s="9">
        <v>1</v>
      </c>
      <c r="K393" s="9">
        <v>431</v>
      </c>
      <c r="L393" s="9">
        <v>2019</v>
      </c>
      <c r="M393" s="8" t="s">
        <v>2289</v>
      </c>
      <c r="N393" s="8" t="s">
        <v>40</v>
      </c>
      <c r="O393" s="8" t="s">
        <v>41</v>
      </c>
      <c r="P393" s="6" t="s">
        <v>42</v>
      </c>
      <c r="Q393" s="8" t="s">
        <v>43</v>
      </c>
      <c r="R393" s="10" t="s">
        <v>310</v>
      </c>
      <c r="S393" s="11"/>
      <c r="T393" s="6"/>
      <c r="U393" s="28" t="str">
        <f>HYPERLINK("https://media.infra-m.ru/1026/1026015/cover/1026015.jpg", "Обложка")</f>
        <v>Обложка</v>
      </c>
      <c r="V393" s="28" t="str">
        <f>HYPERLINK("https://znanium.com/catalog/product/923814", "Ознакомиться")</f>
        <v>Ознакомиться</v>
      </c>
      <c r="W393" s="8"/>
      <c r="X393" s="6"/>
      <c r="Y393" s="6"/>
      <c r="Z393" s="6"/>
      <c r="AA393" s="6" t="s">
        <v>2290</v>
      </c>
    </row>
    <row r="394" spans="1:27" s="4" customFormat="1" ht="51.95" customHeight="1">
      <c r="A394" s="5">
        <v>0</v>
      </c>
      <c r="B394" s="6" t="s">
        <v>2291</v>
      </c>
      <c r="C394" s="13">
        <v>1040</v>
      </c>
      <c r="D394" s="8" t="s">
        <v>2292</v>
      </c>
      <c r="E394" s="8" t="s">
        <v>2293</v>
      </c>
      <c r="F394" s="8" t="s">
        <v>533</v>
      </c>
      <c r="G394" s="6" t="s">
        <v>37</v>
      </c>
      <c r="H394" s="6" t="s">
        <v>38</v>
      </c>
      <c r="I394" s="8"/>
      <c r="J394" s="9">
        <v>1</v>
      </c>
      <c r="K394" s="9">
        <v>232</v>
      </c>
      <c r="L394" s="9">
        <v>2023</v>
      </c>
      <c r="M394" s="8" t="s">
        <v>2294</v>
      </c>
      <c r="N394" s="8" t="s">
        <v>40</v>
      </c>
      <c r="O394" s="8" t="s">
        <v>41</v>
      </c>
      <c r="P394" s="6" t="s">
        <v>42</v>
      </c>
      <c r="Q394" s="8" t="s">
        <v>43</v>
      </c>
      <c r="R394" s="10" t="s">
        <v>2295</v>
      </c>
      <c r="S394" s="11"/>
      <c r="T394" s="6"/>
      <c r="U394" s="28" t="str">
        <f>HYPERLINK("https://media.infra-m.ru/1893/1893925/cover/1893925.jpg", "Обложка")</f>
        <v>Обложка</v>
      </c>
      <c r="V394" s="28" t="str">
        <f>HYPERLINK("https://znanium.com/catalog/product/1893925", "Ознакомиться")</f>
        <v>Ознакомиться</v>
      </c>
      <c r="W394" s="8" t="s">
        <v>535</v>
      </c>
      <c r="X394" s="6"/>
      <c r="Y394" s="6"/>
      <c r="Z394" s="6"/>
      <c r="AA394" s="6" t="s">
        <v>62</v>
      </c>
    </row>
    <row r="395" spans="1:27" s="4" customFormat="1" ht="42" customHeight="1">
      <c r="A395" s="5">
        <v>0</v>
      </c>
      <c r="B395" s="6" t="s">
        <v>2296</v>
      </c>
      <c r="C395" s="13">
        <v>2150</v>
      </c>
      <c r="D395" s="8" t="s">
        <v>2297</v>
      </c>
      <c r="E395" s="8" t="s">
        <v>2298</v>
      </c>
      <c r="F395" s="8" t="s">
        <v>2284</v>
      </c>
      <c r="G395" s="6" t="s">
        <v>37</v>
      </c>
      <c r="H395" s="6" t="s">
        <v>52</v>
      </c>
      <c r="I395" s="8" t="s">
        <v>1605</v>
      </c>
      <c r="J395" s="9">
        <v>1</v>
      </c>
      <c r="K395" s="9">
        <v>481</v>
      </c>
      <c r="L395" s="9">
        <v>2023</v>
      </c>
      <c r="M395" s="8" t="s">
        <v>2299</v>
      </c>
      <c r="N395" s="8" t="s">
        <v>40</v>
      </c>
      <c r="O395" s="8" t="s">
        <v>41</v>
      </c>
      <c r="P395" s="6" t="s">
        <v>42</v>
      </c>
      <c r="Q395" s="8" t="s">
        <v>43</v>
      </c>
      <c r="R395" s="10" t="s">
        <v>310</v>
      </c>
      <c r="S395" s="11"/>
      <c r="T395" s="6"/>
      <c r="U395" s="28" t="str">
        <f>HYPERLINK("https://media.infra-m.ru/1906/1906110/cover/1906110.jpg", "Обложка")</f>
        <v>Обложка</v>
      </c>
      <c r="V395" s="28" t="str">
        <f>HYPERLINK("https://znanium.com/catalog/product/923814", "Ознакомиться")</f>
        <v>Ознакомиться</v>
      </c>
      <c r="W395" s="8"/>
      <c r="X395" s="6"/>
      <c r="Y395" s="6"/>
      <c r="Z395" s="6"/>
      <c r="AA395" s="6" t="s">
        <v>2300</v>
      </c>
    </row>
    <row r="396" spans="1:27" s="4" customFormat="1" ht="42" customHeight="1">
      <c r="A396" s="5">
        <v>0</v>
      </c>
      <c r="B396" s="6" t="s">
        <v>2301</v>
      </c>
      <c r="C396" s="7">
        <v>390</v>
      </c>
      <c r="D396" s="8" t="s">
        <v>2302</v>
      </c>
      <c r="E396" s="8" t="s">
        <v>2303</v>
      </c>
      <c r="F396" s="8" t="s">
        <v>2304</v>
      </c>
      <c r="G396" s="6" t="s">
        <v>51</v>
      </c>
      <c r="H396" s="6" t="s">
        <v>52</v>
      </c>
      <c r="I396" s="8" t="s">
        <v>120</v>
      </c>
      <c r="J396" s="9">
        <v>1</v>
      </c>
      <c r="K396" s="9">
        <v>72</v>
      </c>
      <c r="L396" s="9">
        <v>2023</v>
      </c>
      <c r="M396" s="8" t="s">
        <v>2305</v>
      </c>
      <c r="N396" s="8" t="s">
        <v>40</v>
      </c>
      <c r="O396" s="8" t="s">
        <v>41</v>
      </c>
      <c r="P396" s="6" t="s">
        <v>75</v>
      </c>
      <c r="Q396" s="8" t="s">
        <v>76</v>
      </c>
      <c r="R396" s="10" t="s">
        <v>2306</v>
      </c>
      <c r="S396" s="11"/>
      <c r="T396" s="6"/>
      <c r="U396" s="28" t="str">
        <f>HYPERLINK("https://media.infra-m.ru/1893/1893822/cover/1893822.jpg", "Обложка")</f>
        <v>Обложка</v>
      </c>
      <c r="V396" s="12"/>
      <c r="W396" s="8" t="s">
        <v>158</v>
      </c>
      <c r="X396" s="6"/>
      <c r="Y396" s="6"/>
      <c r="Z396" s="6"/>
      <c r="AA396" s="6" t="s">
        <v>343</v>
      </c>
    </row>
    <row r="397" spans="1:27" s="4" customFormat="1" ht="51.95" customHeight="1">
      <c r="A397" s="5">
        <v>0</v>
      </c>
      <c r="B397" s="6" t="s">
        <v>2307</v>
      </c>
      <c r="C397" s="13">
        <v>1290</v>
      </c>
      <c r="D397" s="8" t="s">
        <v>2308</v>
      </c>
      <c r="E397" s="8" t="s">
        <v>2309</v>
      </c>
      <c r="F397" s="8" t="s">
        <v>2310</v>
      </c>
      <c r="G397" s="6" t="s">
        <v>51</v>
      </c>
      <c r="H397" s="6" t="s">
        <v>84</v>
      </c>
      <c r="I397" s="8" t="s">
        <v>251</v>
      </c>
      <c r="J397" s="9">
        <v>1</v>
      </c>
      <c r="K397" s="9">
        <v>287</v>
      </c>
      <c r="L397" s="9">
        <v>2023</v>
      </c>
      <c r="M397" s="8" t="s">
        <v>2311</v>
      </c>
      <c r="N397" s="8" t="s">
        <v>40</v>
      </c>
      <c r="O397" s="8" t="s">
        <v>41</v>
      </c>
      <c r="P397" s="6" t="s">
        <v>42</v>
      </c>
      <c r="Q397" s="8" t="s">
        <v>43</v>
      </c>
      <c r="R397" s="10" t="s">
        <v>60</v>
      </c>
      <c r="S397" s="11"/>
      <c r="T397" s="6" t="s">
        <v>368</v>
      </c>
      <c r="U397" s="28" t="str">
        <f>HYPERLINK("https://media.infra-m.ru/1873/1873963/cover/1873963.jpg", "Обложка")</f>
        <v>Обложка</v>
      </c>
      <c r="V397" s="28" t="str">
        <f>HYPERLINK("https://znanium.com/catalog/product/1873963", "Ознакомиться")</f>
        <v>Ознакомиться</v>
      </c>
      <c r="W397" s="8" t="s">
        <v>712</v>
      </c>
      <c r="X397" s="6"/>
      <c r="Y397" s="6"/>
      <c r="Z397" s="6"/>
      <c r="AA397" s="6" t="s">
        <v>289</v>
      </c>
    </row>
    <row r="398" spans="1:27" s="4" customFormat="1" ht="51.95" customHeight="1">
      <c r="A398" s="5">
        <v>0</v>
      </c>
      <c r="B398" s="6" t="s">
        <v>2312</v>
      </c>
      <c r="C398" s="7">
        <v>594.9</v>
      </c>
      <c r="D398" s="8" t="s">
        <v>2313</v>
      </c>
      <c r="E398" s="8" t="s">
        <v>2314</v>
      </c>
      <c r="F398" s="8" t="s">
        <v>2315</v>
      </c>
      <c r="G398" s="6" t="s">
        <v>51</v>
      </c>
      <c r="H398" s="6" t="s">
        <v>84</v>
      </c>
      <c r="I398" s="8" t="s">
        <v>120</v>
      </c>
      <c r="J398" s="9">
        <v>1</v>
      </c>
      <c r="K398" s="9">
        <v>131</v>
      </c>
      <c r="L398" s="9">
        <v>2022</v>
      </c>
      <c r="M398" s="8" t="s">
        <v>2316</v>
      </c>
      <c r="N398" s="8" t="s">
        <v>40</v>
      </c>
      <c r="O398" s="8" t="s">
        <v>41</v>
      </c>
      <c r="P398" s="6" t="s">
        <v>811</v>
      </c>
      <c r="Q398" s="8" t="s">
        <v>2317</v>
      </c>
      <c r="R398" s="10" t="s">
        <v>2318</v>
      </c>
      <c r="S398" s="11" t="s">
        <v>2012</v>
      </c>
      <c r="T398" s="6"/>
      <c r="U398" s="28" t="str">
        <f>HYPERLINK("https://media.infra-m.ru/1913/1913536/cover/1913536.jpg", "Обложка")</f>
        <v>Обложка</v>
      </c>
      <c r="V398" s="28" t="str">
        <f>HYPERLINK("https://znanium.com/catalog/product/1905616", "Ознакомиться")</f>
        <v>Ознакомиться</v>
      </c>
      <c r="W398" s="8" t="s">
        <v>2319</v>
      </c>
      <c r="X398" s="6"/>
      <c r="Y398" s="6"/>
      <c r="Z398" s="6"/>
      <c r="AA398" s="6" t="s">
        <v>148</v>
      </c>
    </row>
    <row r="399" spans="1:27" s="4" customFormat="1" ht="51.95" customHeight="1">
      <c r="A399" s="5">
        <v>0</v>
      </c>
      <c r="B399" s="6" t="s">
        <v>2320</v>
      </c>
      <c r="C399" s="13">
        <v>1840</v>
      </c>
      <c r="D399" s="8" t="s">
        <v>2321</v>
      </c>
      <c r="E399" s="8" t="s">
        <v>2322</v>
      </c>
      <c r="F399" s="8" t="s">
        <v>1497</v>
      </c>
      <c r="G399" s="6" t="s">
        <v>37</v>
      </c>
      <c r="H399" s="6" t="s">
        <v>38</v>
      </c>
      <c r="I399" s="8"/>
      <c r="J399" s="9">
        <v>1</v>
      </c>
      <c r="K399" s="9">
        <v>408</v>
      </c>
      <c r="L399" s="9">
        <v>2023</v>
      </c>
      <c r="M399" s="8" t="s">
        <v>2323</v>
      </c>
      <c r="N399" s="8" t="s">
        <v>40</v>
      </c>
      <c r="O399" s="8" t="s">
        <v>41</v>
      </c>
      <c r="P399" s="6" t="s">
        <v>42</v>
      </c>
      <c r="Q399" s="8" t="s">
        <v>43</v>
      </c>
      <c r="R399" s="10" t="s">
        <v>1071</v>
      </c>
      <c r="S399" s="11"/>
      <c r="T399" s="6"/>
      <c r="U399" s="28" t="str">
        <f>HYPERLINK("https://media.infra-m.ru/1915/1915924/cover/1915924.jpg", "Обложка")</f>
        <v>Обложка</v>
      </c>
      <c r="V399" s="28" t="str">
        <f>HYPERLINK("https://znanium.com/catalog/product/1915924", "Ознакомиться")</f>
        <v>Ознакомиться</v>
      </c>
      <c r="W399" s="8" t="s">
        <v>107</v>
      </c>
      <c r="X399" s="6"/>
      <c r="Y399" s="6"/>
      <c r="Z399" s="6"/>
      <c r="AA399" s="6" t="s">
        <v>62</v>
      </c>
    </row>
    <row r="400" spans="1:27" s="4" customFormat="1" ht="51.95" customHeight="1">
      <c r="A400" s="5">
        <v>0</v>
      </c>
      <c r="B400" s="6" t="s">
        <v>2324</v>
      </c>
      <c r="C400" s="13">
        <v>1104</v>
      </c>
      <c r="D400" s="8" t="s">
        <v>2325</v>
      </c>
      <c r="E400" s="8" t="s">
        <v>2326</v>
      </c>
      <c r="F400" s="8" t="s">
        <v>2327</v>
      </c>
      <c r="G400" s="6" t="s">
        <v>37</v>
      </c>
      <c r="H400" s="6" t="s">
        <v>400</v>
      </c>
      <c r="I400" s="8"/>
      <c r="J400" s="9">
        <v>1</v>
      </c>
      <c r="K400" s="9">
        <v>240</v>
      </c>
      <c r="L400" s="9">
        <v>2023</v>
      </c>
      <c r="M400" s="8" t="s">
        <v>2328</v>
      </c>
      <c r="N400" s="8" t="s">
        <v>40</v>
      </c>
      <c r="O400" s="8" t="s">
        <v>41</v>
      </c>
      <c r="P400" s="6" t="s">
        <v>42</v>
      </c>
      <c r="Q400" s="8" t="s">
        <v>43</v>
      </c>
      <c r="R400" s="10" t="s">
        <v>1071</v>
      </c>
      <c r="S400" s="11"/>
      <c r="T400" s="6"/>
      <c r="U400" s="28" t="str">
        <f>HYPERLINK("https://media.infra-m.ru/2043/2043225/cover/2043225.jpg", "Обложка")</f>
        <v>Обложка</v>
      </c>
      <c r="V400" s="28" t="str">
        <f>HYPERLINK("https://znanium.com/catalog/product/1078416", "Ознакомиться")</f>
        <v>Ознакомиться</v>
      </c>
      <c r="W400" s="8" t="s">
        <v>414</v>
      </c>
      <c r="X400" s="6"/>
      <c r="Y400" s="6"/>
      <c r="Z400" s="6"/>
      <c r="AA400" s="6" t="s">
        <v>115</v>
      </c>
    </row>
    <row r="401" spans="1:27" s="4" customFormat="1" ht="42" customHeight="1">
      <c r="A401" s="5">
        <v>0</v>
      </c>
      <c r="B401" s="6" t="s">
        <v>2329</v>
      </c>
      <c r="C401" s="7">
        <v>450</v>
      </c>
      <c r="D401" s="8" t="s">
        <v>2330</v>
      </c>
      <c r="E401" s="8" t="s">
        <v>2331</v>
      </c>
      <c r="F401" s="8" t="s">
        <v>2332</v>
      </c>
      <c r="G401" s="6" t="s">
        <v>51</v>
      </c>
      <c r="H401" s="6" t="s">
        <v>38</v>
      </c>
      <c r="I401" s="8"/>
      <c r="J401" s="9">
        <v>1</v>
      </c>
      <c r="K401" s="9">
        <v>100</v>
      </c>
      <c r="L401" s="9">
        <v>2023</v>
      </c>
      <c r="M401" s="8" t="s">
        <v>2333</v>
      </c>
      <c r="N401" s="8" t="s">
        <v>40</v>
      </c>
      <c r="O401" s="8" t="s">
        <v>41</v>
      </c>
      <c r="P401" s="6" t="s">
        <v>42</v>
      </c>
      <c r="Q401" s="8" t="s">
        <v>43</v>
      </c>
      <c r="R401" s="10" t="s">
        <v>896</v>
      </c>
      <c r="S401" s="11"/>
      <c r="T401" s="6"/>
      <c r="U401" s="28" t="str">
        <f>HYPERLINK("https://media.infra-m.ru/1906/1906330/cover/1906330.jpg", "Обложка")</f>
        <v>Обложка</v>
      </c>
      <c r="V401" s="28" t="str">
        <f>HYPERLINK("https://znanium.com/catalog/product/1906330", "Ознакомиться")</f>
        <v>Ознакомиться</v>
      </c>
      <c r="W401" s="8" t="s">
        <v>535</v>
      </c>
      <c r="X401" s="6"/>
      <c r="Y401" s="6"/>
      <c r="Z401" s="6"/>
      <c r="AA401" s="6" t="s">
        <v>46</v>
      </c>
    </row>
    <row r="402" spans="1:27" s="4" customFormat="1" ht="42" customHeight="1">
      <c r="A402" s="5">
        <v>0</v>
      </c>
      <c r="B402" s="6" t="s">
        <v>2334</v>
      </c>
      <c r="C402" s="13">
        <v>1530</v>
      </c>
      <c r="D402" s="8" t="s">
        <v>2335</v>
      </c>
      <c r="E402" s="8" t="s">
        <v>2336</v>
      </c>
      <c r="F402" s="8" t="s">
        <v>2337</v>
      </c>
      <c r="G402" s="6" t="s">
        <v>58</v>
      </c>
      <c r="H402" s="6" t="s">
        <v>84</v>
      </c>
      <c r="I402" s="8" t="s">
        <v>85</v>
      </c>
      <c r="J402" s="9">
        <v>1</v>
      </c>
      <c r="K402" s="9">
        <v>524</v>
      </c>
      <c r="L402" s="9">
        <v>2018</v>
      </c>
      <c r="M402" s="8" t="s">
        <v>2338</v>
      </c>
      <c r="N402" s="8" t="s">
        <v>40</v>
      </c>
      <c r="O402" s="8" t="s">
        <v>41</v>
      </c>
      <c r="P402" s="6" t="s">
        <v>811</v>
      </c>
      <c r="Q402" s="8" t="s">
        <v>43</v>
      </c>
      <c r="R402" s="10"/>
      <c r="S402" s="11"/>
      <c r="T402" s="6"/>
      <c r="U402" s="28" t="str">
        <f>HYPERLINK("https://media.infra-m.ru/0928/0928373/cover/928373.jpg", "Обложка")</f>
        <v>Обложка</v>
      </c>
      <c r="V402" s="12"/>
      <c r="W402" s="8" t="s">
        <v>2339</v>
      </c>
      <c r="X402" s="6"/>
      <c r="Y402" s="6"/>
      <c r="Z402" s="6"/>
      <c r="AA402" s="6" t="s">
        <v>215</v>
      </c>
    </row>
    <row r="403" spans="1:27" s="4" customFormat="1" ht="51.95" customHeight="1">
      <c r="A403" s="5">
        <v>0</v>
      </c>
      <c r="B403" s="6" t="s">
        <v>2340</v>
      </c>
      <c r="C403" s="13">
        <v>1700</v>
      </c>
      <c r="D403" s="8" t="s">
        <v>2341</v>
      </c>
      <c r="E403" s="8" t="s">
        <v>2342</v>
      </c>
      <c r="F403" s="8" t="s">
        <v>2343</v>
      </c>
      <c r="G403" s="6" t="s">
        <v>37</v>
      </c>
      <c r="H403" s="6" t="s">
        <v>84</v>
      </c>
      <c r="I403" s="8" t="s">
        <v>85</v>
      </c>
      <c r="J403" s="9">
        <v>1</v>
      </c>
      <c r="K403" s="9">
        <v>472</v>
      </c>
      <c r="L403" s="9">
        <v>2021</v>
      </c>
      <c r="M403" s="8" t="s">
        <v>2344</v>
      </c>
      <c r="N403" s="8" t="s">
        <v>40</v>
      </c>
      <c r="O403" s="8" t="s">
        <v>41</v>
      </c>
      <c r="P403" s="6" t="s">
        <v>68</v>
      </c>
      <c r="Q403" s="8" t="s">
        <v>680</v>
      </c>
      <c r="R403" s="10" t="s">
        <v>60</v>
      </c>
      <c r="S403" s="11"/>
      <c r="T403" s="6"/>
      <c r="U403" s="28" t="str">
        <f>HYPERLINK("https://media.infra-m.ru/1216/1216935/cover/1216935.jpg", "Обложка")</f>
        <v>Обложка</v>
      </c>
      <c r="V403" s="28" t="str">
        <f>HYPERLINK("https://znanium.com/catalog/product/1216935", "Ознакомиться")</f>
        <v>Ознакомиться</v>
      </c>
      <c r="W403" s="8" t="s">
        <v>45</v>
      </c>
      <c r="X403" s="6"/>
      <c r="Y403" s="6"/>
      <c r="Z403" s="6"/>
      <c r="AA403" s="6" t="s">
        <v>115</v>
      </c>
    </row>
    <row r="404" spans="1:27" s="4" customFormat="1" ht="51.95" customHeight="1">
      <c r="A404" s="5">
        <v>0</v>
      </c>
      <c r="B404" s="6" t="s">
        <v>2345</v>
      </c>
      <c r="C404" s="13">
        <v>2890</v>
      </c>
      <c r="D404" s="8" t="s">
        <v>2346</v>
      </c>
      <c r="E404" s="8" t="s">
        <v>2347</v>
      </c>
      <c r="F404" s="8" t="s">
        <v>2348</v>
      </c>
      <c r="G404" s="6" t="s">
        <v>37</v>
      </c>
      <c r="H404" s="6" t="s">
        <v>38</v>
      </c>
      <c r="I404" s="8" t="s">
        <v>2349</v>
      </c>
      <c r="J404" s="9">
        <v>1</v>
      </c>
      <c r="K404" s="9">
        <v>928</v>
      </c>
      <c r="L404" s="9">
        <v>2023</v>
      </c>
      <c r="M404" s="8" t="s">
        <v>2350</v>
      </c>
      <c r="N404" s="8" t="s">
        <v>40</v>
      </c>
      <c r="O404" s="8" t="s">
        <v>41</v>
      </c>
      <c r="P404" s="6" t="s">
        <v>68</v>
      </c>
      <c r="Q404" s="8"/>
      <c r="R404" s="10" t="s">
        <v>60</v>
      </c>
      <c r="S404" s="11"/>
      <c r="T404" s="6"/>
      <c r="U404" s="28" t="str">
        <f>HYPERLINK("https://media.infra-m.ru/1973/1973510/cover/1973510.jpg", "Обложка")</f>
        <v>Обложка</v>
      </c>
      <c r="V404" s="28" t="str">
        <f>HYPERLINK("https://znanium.com/catalog/product/1973510", "Ознакомиться")</f>
        <v>Ознакомиться</v>
      </c>
      <c r="W404" s="8" t="s">
        <v>124</v>
      </c>
      <c r="X404" s="6"/>
      <c r="Y404" s="6"/>
      <c r="Z404" s="6"/>
      <c r="AA404" s="6" t="s">
        <v>2351</v>
      </c>
    </row>
    <row r="405" spans="1:27" s="4" customFormat="1" ht="42" customHeight="1">
      <c r="A405" s="5">
        <v>0</v>
      </c>
      <c r="B405" s="6" t="s">
        <v>2352</v>
      </c>
      <c r="C405" s="13">
        <v>1880</v>
      </c>
      <c r="D405" s="8" t="s">
        <v>2353</v>
      </c>
      <c r="E405" s="8" t="s">
        <v>2354</v>
      </c>
      <c r="F405" s="8" t="s">
        <v>1714</v>
      </c>
      <c r="G405" s="6" t="s">
        <v>51</v>
      </c>
      <c r="H405" s="6" t="s">
        <v>52</v>
      </c>
      <c r="I405" s="8"/>
      <c r="J405" s="9">
        <v>1</v>
      </c>
      <c r="K405" s="9">
        <v>477</v>
      </c>
      <c r="L405" s="9">
        <v>2023</v>
      </c>
      <c r="M405" s="8" t="s">
        <v>2355</v>
      </c>
      <c r="N405" s="8" t="s">
        <v>40</v>
      </c>
      <c r="O405" s="8" t="s">
        <v>41</v>
      </c>
      <c r="P405" s="6" t="s">
        <v>68</v>
      </c>
      <c r="Q405" s="8" t="s">
        <v>43</v>
      </c>
      <c r="R405" s="10" t="s">
        <v>2356</v>
      </c>
      <c r="S405" s="11"/>
      <c r="T405" s="6"/>
      <c r="U405" s="28" t="str">
        <f>HYPERLINK("https://media.infra-m.ru/1964/1964162/cover/1964162.jpg", "Обложка")</f>
        <v>Обложка</v>
      </c>
      <c r="V405" s="28" t="str">
        <f>HYPERLINK("https://znanium.com/catalog/product/1013425", "Ознакомиться")</f>
        <v>Ознакомиться</v>
      </c>
      <c r="W405" s="8" t="s">
        <v>897</v>
      </c>
      <c r="X405" s="6"/>
      <c r="Y405" s="6"/>
      <c r="Z405" s="6"/>
      <c r="AA405" s="6" t="s">
        <v>1721</v>
      </c>
    </row>
    <row r="406" spans="1:27" s="4" customFormat="1" ht="42" customHeight="1">
      <c r="A406" s="5">
        <v>0</v>
      </c>
      <c r="B406" s="6" t="s">
        <v>2357</v>
      </c>
      <c r="C406" s="13">
        <v>1300</v>
      </c>
      <c r="D406" s="8" t="s">
        <v>2358</v>
      </c>
      <c r="E406" s="8" t="s">
        <v>2359</v>
      </c>
      <c r="F406" s="8" t="s">
        <v>1714</v>
      </c>
      <c r="G406" s="6" t="s">
        <v>51</v>
      </c>
      <c r="H406" s="6" t="s">
        <v>52</v>
      </c>
      <c r="I406" s="8"/>
      <c r="J406" s="9">
        <v>1</v>
      </c>
      <c r="K406" s="9">
        <v>412</v>
      </c>
      <c r="L406" s="9">
        <v>2019</v>
      </c>
      <c r="M406" s="8" t="s">
        <v>2360</v>
      </c>
      <c r="N406" s="8" t="s">
        <v>40</v>
      </c>
      <c r="O406" s="8" t="s">
        <v>41</v>
      </c>
      <c r="P406" s="6" t="s">
        <v>68</v>
      </c>
      <c r="Q406" s="8" t="s">
        <v>43</v>
      </c>
      <c r="R406" s="10" t="s">
        <v>2356</v>
      </c>
      <c r="S406" s="11"/>
      <c r="T406" s="6"/>
      <c r="U406" s="28" t="str">
        <f>HYPERLINK("https://media.infra-m.ru/1013/1013425/cover/1013425.jpg", "Обложка")</f>
        <v>Обложка</v>
      </c>
      <c r="V406" s="28" t="str">
        <f>HYPERLINK("https://znanium.com/catalog/product/1013425", "Ознакомиться")</f>
        <v>Ознакомиться</v>
      </c>
      <c r="W406" s="8" t="s">
        <v>897</v>
      </c>
      <c r="X406" s="6"/>
      <c r="Y406" s="6"/>
      <c r="Z406" s="6"/>
      <c r="AA406" s="6" t="s">
        <v>855</v>
      </c>
    </row>
    <row r="407" spans="1:27" s="4" customFormat="1" ht="51.95" customHeight="1">
      <c r="A407" s="5">
        <v>0</v>
      </c>
      <c r="B407" s="6" t="s">
        <v>2361</v>
      </c>
      <c r="C407" s="13">
        <v>1010</v>
      </c>
      <c r="D407" s="8" t="s">
        <v>2362</v>
      </c>
      <c r="E407" s="8" t="s">
        <v>2363</v>
      </c>
      <c r="F407" s="8" t="s">
        <v>2364</v>
      </c>
      <c r="G407" s="6" t="s">
        <v>37</v>
      </c>
      <c r="H407" s="6" t="s">
        <v>84</v>
      </c>
      <c r="I407" s="8" t="s">
        <v>85</v>
      </c>
      <c r="J407" s="9">
        <v>1</v>
      </c>
      <c r="K407" s="9">
        <v>368</v>
      </c>
      <c r="L407" s="9">
        <v>2023</v>
      </c>
      <c r="M407" s="8" t="s">
        <v>2365</v>
      </c>
      <c r="N407" s="8" t="s">
        <v>40</v>
      </c>
      <c r="O407" s="8" t="s">
        <v>41</v>
      </c>
      <c r="P407" s="6" t="s">
        <v>68</v>
      </c>
      <c r="Q407" s="8" t="s">
        <v>1660</v>
      </c>
      <c r="R407" s="10" t="s">
        <v>2366</v>
      </c>
      <c r="S407" s="11"/>
      <c r="T407" s="6"/>
      <c r="U407" s="28" t="str">
        <f>HYPERLINK("https://media.infra-m.ru/1906/1906440/cover/1906440.jpg", "Обложка")</f>
        <v>Обложка</v>
      </c>
      <c r="V407" s="28" t="str">
        <f>HYPERLINK("https://znanium.com/catalog/product/1906440", "Ознакомиться")</f>
        <v>Ознакомиться</v>
      </c>
      <c r="W407" s="8" t="s">
        <v>45</v>
      </c>
      <c r="X407" s="6"/>
      <c r="Y407" s="6"/>
      <c r="Z407" s="6"/>
      <c r="AA407" s="6" t="s">
        <v>62</v>
      </c>
    </row>
    <row r="408" spans="1:27" s="4" customFormat="1" ht="42" customHeight="1">
      <c r="A408" s="5">
        <v>0</v>
      </c>
      <c r="B408" s="6" t="s">
        <v>2367</v>
      </c>
      <c r="C408" s="7">
        <v>740</v>
      </c>
      <c r="D408" s="8" t="s">
        <v>2368</v>
      </c>
      <c r="E408" s="8" t="s">
        <v>2369</v>
      </c>
      <c r="F408" s="8" t="s">
        <v>2370</v>
      </c>
      <c r="G408" s="6" t="s">
        <v>51</v>
      </c>
      <c r="H408" s="6" t="s">
        <v>52</v>
      </c>
      <c r="I408" s="8"/>
      <c r="J408" s="9">
        <v>1</v>
      </c>
      <c r="K408" s="9">
        <v>254</v>
      </c>
      <c r="L408" s="9">
        <v>2023</v>
      </c>
      <c r="M408" s="8" t="s">
        <v>2371</v>
      </c>
      <c r="N408" s="8" t="s">
        <v>40</v>
      </c>
      <c r="O408" s="8" t="s">
        <v>41</v>
      </c>
      <c r="P408" s="6" t="s">
        <v>75</v>
      </c>
      <c r="Q408" s="8" t="s">
        <v>96</v>
      </c>
      <c r="R408" s="10" t="s">
        <v>2372</v>
      </c>
      <c r="S408" s="11"/>
      <c r="T408" s="6"/>
      <c r="U408" s="28" t="str">
        <f>HYPERLINK("https://media.infra-m.ru/1920/1920320/cover/1920320.jpg", "Обложка")</f>
        <v>Обложка</v>
      </c>
      <c r="V408" s="28" t="str">
        <f>HYPERLINK("https://znanium.com/catalog/product/1920320", "Ознакомиться")</f>
        <v>Ознакомиться</v>
      </c>
      <c r="W408" s="8" t="s">
        <v>2373</v>
      </c>
      <c r="X408" s="6"/>
      <c r="Y408" s="6"/>
      <c r="Z408" s="6"/>
      <c r="AA408" s="6" t="s">
        <v>143</v>
      </c>
    </row>
    <row r="409" spans="1:27" s="4" customFormat="1" ht="42" customHeight="1">
      <c r="A409" s="5">
        <v>0</v>
      </c>
      <c r="B409" s="6" t="s">
        <v>2374</v>
      </c>
      <c r="C409" s="7">
        <v>450</v>
      </c>
      <c r="D409" s="8" t="s">
        <v>2375</v>
      </c>
      <c r="E409" s="8" t="s">
        <v>2376</v>
      </c>
      <c r="F409" s="8" t="s">
        <v>2370</v>
      </c>
      <c r="G409" s="6" t="s">
        <v>51</v>
      </c>
      <c r="H409" s="6" t="s">
        <v>52</v>
      </c>
      <c r="I409" s="8"/>
      <c r="J409" s="9">
        <v>1</v>
      </c>
      <c r="K409" s="9">
        <v>230</v>
      </c>
      <c r="L409" s="9">
        <v>2019</v>
      </c>
      <c r="M409" s="8" t="s">
        <v>2377</v>
      </c>
      <c r="N409" s="8" t="s">
        <v>40</v>
      </c>
      <c r="O409" s="8" t="s">
        <v>41</v>
      </c>
      <c r="P409" s="6" t="s">
        <v>75</v>
      </c>
      <c r="Q409" s="8" t="s">
        <v>96</v>
      </c>
      <c r="R409" s="10" t="s">
        <v>2372</v>
      </c>
      <c r="S409" s="11"/>
      <c r="T409" s="6"/>
      <c r="U409" s="28" t="str">
        <f>HYPERLINK("https://media.infra-m.ru/1020/1020833/cover/1020833.jpg", "Обложка")</f>
        <v>Обложка</v>
      </c>
      <c r="V409" s="28" t="str">
        <f>HYPERLINK("https://znanium.com/catalog/product/1920320", "Ознакомиться")</f>
        <v>Ознакомиться</v>
      </c>
      <c r="W409" s="8" t="s">
        <v>2373</v>
      </c>
      <c r="X409" s="6"/>
      <c r="Y409" s="6"/>
      <c r="Z409" s="6"/>
      <c r="AA409" s="6" t="s">
        <v>88</v>
      </c>
    </row>
    <row r="410" spans="1:27" s="4" customFormat="1" ht="51.95" customHeight="1">
      <c r="A410" s="5">
        <v>0</v>
      </c>
      <c r="B410" s="6" t="s">
        <v>2378</v>
      </c>
      <c r="C410" s="7">
        <v>700</v>
      </c>
      <c r="D410" s="8" t="s">
        <v>2379</v>
      </c>
      <c r="E410" s="8" t="s">
        <v>2380</v>
      </c>
      <c r="F410" s="8" t="s">
        <v>2381</v>
      </c>
      <c r="G410" s="6" t="s">
        <v>51</v>
      </c>
      <c r="H410" s="6" t="s">
        <v>52</v>
      </c>
      <c r="I410" s="8"/>
      <c r="J410" s="9">
        <v>1</v>
      </c>
      <c r="K410" s="9">
        <v>200</v>
      </c>
      <c r="L410" s="9">
        <v>2020</v>
      </c>
      <c r="M410" s="8" t="s">
        <v>2382</v>
      </c>
      <c r="N410" s="8" t="s">
        <v>40</v>
      </c>
      <c r="O410" s="8" t="s">
        <v>41</v>
      </c>
      <c r="P410" s="6" t="s">
        <v>68</v>
      </c>
      <c r="Q410" s="8" t="s">
        <v>43</v>
      </c>
      <c r="R410" s="10" t="s">
        <v>2383</v>
      </c>
      <c r="S410" s="11"/>
      <c r="T410" s="6"/>
      <c r="U410" s="28" t="str">
        <f>HYPERLINK("https://media.infra-m.ru/1080/1080554/cover/1080554.jpg", "Обложка")</f>
        <v>Обложка</v>
      </c>
      <c r="V410" s="28" t="str">
        <f>HYPERLINK("https://znanium.com/catalog/product/917512", "Ознакомиться")</f>
        <v>Ознакомиться</v>
      </c>
      <c r="W410" s="8" t="s">
        <v>414</v>
      </c>
      <c r="X410" s="6"/>
      <c r="Y410" s="6"/>
      <c r="Z410" s="6"/>
      <c r="AA410" s="6" t="s">
        <v>739</v>
      </c>
    </row>
    <row r="411" spans="1:27" s="4" customFormat="1" ht="51.95" customHeight="1">
      <c r="A411" s="5">
        <v>0</v>
      </c>
      <c r="B411" s="6" t="s">
        <v>2384</v>
      </c>
      <c r="C411" s="7">
        <v>290</v>
      </c>
      <c r="D411" s="8" t="s">
        <v>2385</v>
      </c>
      <c r="E411" s="8" t="s">
        <v>2386</v>
      </c>
      <c r="F411" s="8" t="s">
        <v>2381</v>
      </c>
      <c r="G411" s="6" t="s">
        <v>51</v>
      </c>
      <c r="H411" s="6" t="s">
        <v>52</v>
      </c>
      <c r="I411" s="8"/>
      <c r="J411" s="9">
        <v>1</v>
      </c>
      <c r="K411" s="9">
        <v>94</v>
      </c>
      <c r="L411" s="9">
        <v>2018</v>
      </c>
      <c r="M411" s="8" t="s">
        <v>2387</v>
      </c>
      <c r="N411" s="8" t="s">
        <v>40</v>
      </c>
      <c r="O411" s="8" t="s">
        <v>41</v>
      </c>
      <c r="P411" s="6" t="s">
        <v>68</v>
      </c>
      <c r="Q411" s="8" t="s">
        <v>296</v>
      </c>
      <c r="R411" s="10" t="s">
        <v>2383</v>
      </c>
      <c r="S411" s="11"/>
      <c r="T411" s="6"/>
      <c r="U411" s="28" t="str">
        <f>HYPERLINK("https://media.infra-m.ru/0917/0917512/cover/917512.jpg", "Обложка")</f>
        <v>Обложка</v>
      </c>
      <c r="V411" s="28" t="str">
        <f>HYPERLINK("https://znanium.com/catalog/product/917512", "Ознакомиться")</f>
        <v>Ознакомиться</v>
      </c>
      <c r="W411" s="8" t="s">
        <v>414</v>
      </c>
      <c r="X411" s="6"/>
      <c r="Y411" s="6"/>
      <c r="Z411" s="6"/>
      <c r="AA411" s="6" t="s">
        <v>46</v>
      </c>
    </row>
    <row r="412" spans="1:27" s="4" customFormat="1" ht="51.95" customHeight="1">
      <c r="A412" s="5">
        <v>0</v>
      </c>
      <c r="B412" s="6" t="s">
        <v>2388</v>
      </c>
      <c r="C412" s="13">
        <v>2390</v>
      </c>
      <c r="D412" s="8" t="s">
        <v>2389</v>
      </c>
      <c r="E412" s="8" t="s">
        <v>2390</v>
      </c>
      <c r="F412" s="8" t="s">
        <v>2391</v>
      </c>
      <c r="G412" s="6" t="s">
        <v>51</v>
      </c>
      <c r="H412" s="6" t="s">
        <v>52</v>
      </c>
      <c r="I412" s="8"/>
      <c r="J412" s="9">
        <v>1</v>
      </c>
      <c r="K412" s="9">
        <v>686</v>
      </c>
      <c r="L412" s="9">
        <v>2022</v>
      </c>
      <c r="M412" s="8" t="s">
        <v>2392</v>
      </c>
      <c r="N412" s="8" t="s">
        <v>40</v>
      </c>
      <c r="O412" s="8" t="s">
        <v>41</v>
      </c>
      <c r="P412" s="6" t="s">
        <v>68</v>
      </c>
      <c r="Q412" s="8" t="s">
        <v>43</v>
      </c>
      <c r="R412" s="10" t="s">
        <v>2393</v>
      </c>
      <c r="S412" s="11"/>
      <c r="T412" s="6" t="s">
        <v>368</v>
      </c>
      <c r="U412" s="28" t="str">
        <f>HYPERLINK("https://media.infra-m.ru/1839/1839926/cover/1839926.jpg", "Обложка")</f>
        <v>Обложка</v>
      </c>
      <c r="V412" s="28" t="str">
        <f>HYPERLINK("https://znanium.com/catalog/product/2005194", "Ознакомиться")</f>
        <v>Ознакомиться</v>
      </c>
      <c r="W412" s="8" t="s">
        <v>78</v>
      </c>
      <c r="X412" s="6"/>
      <c r="Y412" s="6"/>
      <c r="Z412" s="6"/>
      <c r="AA412" s="6" t="s">
        <v>2394</v>
      </c>
    </row>
    <row r="413" spans="1:27" s="4" customFormat="1" ht="51.95" customHeight="1">
      <c r="A413" s="5">
        <v>0</v>
      </c>
      <c r="B413" s="6" t="s">
        <v>2395</v>
      </c>
      <c r="C413" s="13">
        <v>2990</v>
      </c>
      <c r="D413" s="8" t="s">
        <v>2396</v>
      </c>
      <c r="E413" s="8" t="s">
        <v>2397</v>
      </c>
      <c r="F413" s="8" t="s">
        <v>2391</v>
      </c>
      <c r="G413" s="6" t="s">
        <v>51</v>
      </c>
      <c r="H413" s="6" t="s">
        <v>52</v>
      </c>
      <c r="I413" s="8" t="s">
        <v>68</v>
      </c>
      <c r="J413" s="9">
        <v>1</v>
      </c>
      <c r="K413" s="9">
        <v>749</v>
      </c>
      <c r="L413" s="9">
        <v>2023</v>
      </c>
      <c r="M413" s="8" t="s">
        <v>2398</v>
      </c>
      <c r="N413" s="8" t="s">
        <v>40</v>
      </c>
      <c r="O413" s="8" t="s">
        <v>41</v>
      </c>
      <c r="P413" s="6" t="s">
        <v>68</v>
      </c>
      <c r="Q413" s="8" t="s">
        <v>43</v>
      </c>
      <c r="R413" s="10" t="s">
        <v>2393</v>
      </c>
      <c r="S413" s="11"/>
      <c r="T413" s="6" t="s">
        <v>368</v>
      </c>
      <c r="U413" s="28" t="str">
        <f>HYPERLINK("https://media.infra-m.ru/2117/2117550/cover/2117550.jpg", "Обложка")</f>
        <v>Обложка</v>
      </c>
      <c r="V413" s="28" t="str">
        <f>HYPERLINK("https://znanium.com/catalog/product/2005194", "Ознакомиться")</f>
        <v>Ознакомиться</v>
      </c>
      <c r="W413" s="8" t="s">
        <v>78</v>
      </c>
      <c r="X413" s="6"/>
      <c r="Y413" s="6"/>
      <c r="Z413" s="6"/>
      <c r="AA413" s="6" t="s">
        <v>2399</v>
      </c>
    </row>
    <row r="414" spans="1:27" s="4" customFormat="1" ht="51.95" customHeight="1">
      <c r="A414" s="5">
        <v>0</v>
      </c>
      <c r="B414" s="6" t="s">
        <v>2400</v>
      </c>
      <c r="C414" s="13">
        <v>1980</v>
      </c>
      <c r="D414" s="8" t="s">
        <v>2401</v>
      </c>
      <c r="E414" s="8" t="s">
        <v>2402</v>
      </c>
      <c r="F414" s="8" t="s">
        <v>2391</v>
      </c>
      <c r="G414" s="6" t="s">
        <v>51</v>
      </c>
      <c r="H414" s="6" t="s">
        <v>52</v>
      </c>
      <c r="I414" s="8"/>
      <c r="J414" s="9">
        <v>1</v>
      </c>
      <c r="K414" s="9">
        <v>580</v>
      </c>
      <c r="L414" s="9">
        <v>2020</v>
      </c>
      <c r="M414" s="8" t="s">
        <v>2403</v>
      </c>
      <c r="N414" s="8" t="s">
        <v>40</v>
      </c>
      <c r="O414" s="8" t="s">
        <v>41</v>
      </c>
      <c r="P414" s="6" t="s">
        <v>68</v>
      </c>
      <c r="Q414" s="8" t="s">
        <v>43</v>
      </c>
      <c r="R414" s="10" t="s">
        <v>2393</v>
      </c>
      <c r="S414" s="11"/>
      <c r="T414" s="6" t="s">
        <v>368</v>
      </c>
      <c r="U414" s="28" t="str">
        <f>HYPERLINK("https://media.infra-m.ru/1216/1216925/cover/1216925.jpg", "Обложка")</f>
        <v>Обложка</v>
      </c>
      <c r="V414" s="28" t="str">
        <f>HYPERLINK("https://znanium.com/catalog/product/2005194", "Ознакомиться")</f>
        <v>Ознакомиться</v>
      </c>
      <c r="W414" s="8" t="s">
        <v>78</v>
      </c>
      <c r="X414" s="6"/>
      <c r="Y414" s="6"/>
      <c r="Z414" s="6"/>
      <c r="AA414" s="6" t="s">
        <v>2404</v>
      </c>
    </row>
    <row r="415" spans="1:27" s="4" customFormat="1" ht="51.95" customHeight="1">
      <c r="A415" s="5">
        <v>0</v>
      </c>
      <c r="B415" s="6" t="s">
        <v>2405</v>
      </c>
      <c r="C415" s="13">
        <v>2090</v>
      </c>
      <c r="D415" s="8" t="s">
        <v>2406</v>
      </c>
      <c r="E415" s="8" t="s">
        <v>2407</v>
      </c>
      <c r="F415" s="8" t="s">
        <v>2391</v>
      </c>
      <c r="G415" s="6" t="s">
        <v>51</v>
      </c>
      <c r="H415" s="6" t="s">
        <v>52</v>
      </c>
      <c r="I415" s="8"/>
      <c r="J415" s="9">
        <v>1</v>
      </c>
      <c r="K415" s="9">
        <v>605</v>
      </c>
      <c r="L415" s="9">
        <v>2021</v>
      </c>
      <c r="M415" s="8" t="s">
        <v>2408</v>
      </c>
      <c r="N415" s="8" t="s">
        <v>40</v>
      </c>
      <c r="O415" s="8" t="s">
        <v>41</v>
      </c>
      <c r="P415" s="6" t="s">
        <v>68</v>
      </c>
      <c r="Q415" s="8" t="s">
        <v>43</v>
      </c>
      <c r="R415" s="10" t="s">
        <v>2393</v>
      </c>
      <c r="S415" s="11"/>
      <c r="T415" s="6" t="s">
        <v>368</v>
      </c>
      <c r="U415" s="28" t="str">
        <f>HYPERLINK("https://media.infra-m.ru/1248/1248077/cover/1248077.jpg", "Обложка")</f>
        <v>Обложка</v>
      </c>
      <c r="V415" s="28" t="str">
        <f>HYPERLINK("https://znanium.com/catalog/product/2005194", "Ознакомиться")</f>
        <v>Ознакомиться</v>
      </c>
      <c r="W415" s="8" t="s">
        <v>78</v>
      </c>
      <c r="X415" s="6"/>
      <c r="Y415" s="6"/>
      <c r="Z415" s="6"/>
      <c r="AA415" s="6" t="s">
        <v>2409</v>
      </c>
    </row>
    <row r="416" spans="1:27" s="4" customFormat="1" ht="51.95" customHeight="1">
      <c r="A416" s="5">
        <v>0</v>
      </c>
      <c r="B416" s="6" t="s">
        <v>2410</v>
      </c>
      <c r="C416" s="13">
        <v>1690</v>
      </c>
      <c r="D416" s="8" t="s">
        <v>2411</v>
      </c>
      <c r="E416" s="8" t="s">
        <v>2412</v>
      </c>
      <c r="F416" s="8" t="s">
        <v>2391</v>
      </c>
      <c r="G416" s="6" t="s">
        <v>51</v>
      </c>
      <c r="H416" s="6" t="s">
        <v>52</v>
      </c>
      <c r="I416" s="8"/>
      <c r="J416" s="9">
        <v>1</v>
      </c>
      <c r="K416" s="9">
        <v>566</v>
      </c>
      <c r="L416" s="9">
        <v>2019</v>
      </c>
      <c r="M416" s="8" t="s">
        <v>2413</v>
      </c>
      <c r="N416" s="8" t="s">
        <v>40</v>
      </c>
      <c r="O416" s="8" t="s">
        <v>41</v>
      </c>
      <c r="P416" s="6" t="s">
        <v>68</v>
      </c>
      <c r="Q416" s="8" t="s">
        <v>43</v>
      </c>
      <c r="R416" s="10" t="s">
        <v>2393</v>
      </c>
      <c r="S416" s="11"/>
      <c r="T416" s="6" t="s">
        <v>368</v>
      </c>
      <c r="U416" s="28" t="str">
        <f>HYPERLINK("https://media.infra-m.ru/1077/1077363/cover/1077363.jpg", "Обложка")</f>
        <v>Обложка</v>
      </c>
      <c r="V416" s="28" t="str">
        <f>HYPERLINK("https://znanium.com/catalog/product/2005194", "Ознакомиться")</f>
        <v>Ознакомиться</v>
      </c>
      <c r="W416" s="8" t="s">
        <v>78</v>
      </c>
      <c r="X416" s="6"/>
      <c r="Y416" s="6"/>
      <c r="Z416" s="6"/>
      <c r="AA416" s="6" t="s">
        <v>2414</v>
      </c>
    </row>
    <row r="417" spans="1:27" s="4" customFormat="1" ht="51.95" customHeight="1">
      <c r="A417" s="5">
        <v>0</v>
      </c>
      <c r="B417" s="6" t="s">
        <v>2415</v>
      </c>
      <c r="C417" s="7">
        <v>950</v>
      </c>
      <c r="D417" s="8" t="s">
        <v>2416</v>
      </c>
      <c r="E417" s="8" t="s">
        <v>2417</v>
      </c>
      <c r="F417" s="8" t="s">
        <v>2391</v>
      </c>
      <c r="G417" s="6" t="s">
        <v>51</v>
      </c>
      <c r="H417" s="6" t="s">
        <v>52</v>
      </c>
      <c r="I417" s="8"/>
      <c r="J417" s="9">
        <v>1</v>
      </c>
      <c r="K417" s="9">
        <v>538</v>
      </c>
      <c r="L417" s="9">
        <v>2017</v>
      </c>
      <c r="M417" s="8" t="s">
        <v>2418</v>
      </c>
      <c r="N417" s="8" t="s">
        <v>40</v>
      </c>
      <c r="O417" s="8" t="s">
        <v>41</v>
      </c>
      <c r="P417" s="6" t="s">
        <v>68</v>
      </c>
      <c r="Q417" s="8" t="s">
        <v>43</v>
      </c>
      <c r="R417" s="10" t="s">
        <v>2393</v>
      </c>
      <c r="S417" s="11"/>
      <c r="T417" s="6" t="s">
        <v>368</v>
      </c>
      <c r="U417" s="28" t="str">
        <f>HYPERLINK("https://media.infra-m.ru/0951/0951721/cover/951721.jpg", "Обложка")</f>
        <v>Обложка</v>
      </c>
      <c r="V417" s="28" t="str">
        <f>HYPERLINK("https://znanium.com/catalog/product/2005194", "Ознакомиться")</f>
        <v>Ознакомиться</v>
      </c>
      <c r="W417" s="8" t="s">
        <v>78</v>
      </c>
      <c r="X417" s="6"/>
      <c r="Y417" s="6"/>
      <c r="Z417" s="6"/>
      <c r="AA417" s="6" t="s">
        <v>2419</v>
      </c>
    </row>
    <row r="418" spans="1:27" s="4" customFormat="1" ht="51.95" customHeight="1">
      <c r="A418" s="5">
        <v>0</v>
      </c>
      <c r="B418" s="6" t="s">
        <v>2420</v>
      </c>
      <c r="C418" s="13">
        <v>1500</v>
      </c>
      <c r="D418" s="8" t="s">
        <v>2421</v>
      </c>
      <c r="E418" s="8" t="s">
        <v>2422</v>
      </c>
      <c r="F418" s="8" t="s">
        <v>2391</v>
      </c>
      <c r="G418" s="6" t="s">
        <v>51</v>
      </c>
      <c r="H418" s="6" t="s">
        <v>52</v>
      </c>
      <c r="I418" s="8"/>
      <c r="J418" s="9">
        <v>1</v>
      </c>
      <c r="K418" s="9">
        <v>556</v>
      </c>
      <c r="L418" s="9">
        <v>2018</v>
      </c>
      <c r="M418" s="8" t="s">
        <v>2423</v>
      </c>
      <c r="N418" s="8" t="s">
        <v>40</v>
      </c>
      <c r="O418" s="8" t="s">
        <v>41</v>
      </c>
      <c r="P418" s="6" t="s">
        <v>68</v>
      </c>
      <c r="Q418" s="8" t="s">
        <v>43</v>
      </c>
      <c r="R418" s="10" t="s">
        <v>2393</v>
      </c>
      <c r="S418" s="11"/>
      <c r="T418" s="6" t="s">
        <v>368</v>
      </c>
      <c r="U418" s="28" t="str">
        <f>HYPERLINK("https://media.infra-m.ru/0967/0967316/cover/967316.jpg", "Обложка")</f>
        <v>Обложка</v>
      </c>
      <c r="V418" s="28" t="str">
        <f>HYPERLINK("https://znanium.com/catalog/product/2005194", "Ознакомиться")</f>
        <v>Ознакомиться</v>
      </c>
      <c r="W418" s="8" t="s">
        <v>78</v>
      </c>
      <c r="X418" s="6"/>
      <c r="Y418" s="6"/>
      <c r="Z418" s="6"/>
      <c r="AA418" s="6" t="s">
        <v>2424</v>
      </c>
    </row>
    <row r="419" spans="1:27" s="4" customFormat="1" ht="51.95" customHeight="1">
      <c r="A419" s="5">
        <v>0</v>
      </c>
      <c r="B419" s="6" t="s">
        <v>2425</v>
      </c>
      <c r="C419" s="13">
        <v>2990</v>
      </c>
      <c r="D419" s="8" t="s">
        <v>2426</v>
      </c>
      <c r="E419" s="8" t="s">
        <v>2427</v>
      </c>
      <c r="F419" s="8" t="s">
        <v>2428</v>
      </c>
      <c r="G419" s="6" t="s">
        <v>58</v>
      </c>
      <c r="H419" s="6" t="s">
        <v>38</v>
      </c>
      <c r="I419" s="8" t="s">
        <v>2349</v>
      </c>
      <c r="J419" s="9">
        <v>1</v>
      </c>
      <c r="K419" s="9">
        <v>752</v>
      </c>
      <c r="L419" s="9">
        <v>2024</v>
      </c>
      <c r="M419" s="8" t="s">
        <v>2429</v>
      </c>
      <c r="N419" s="8" t="s">
        <v>40</v>
      </c>
      <c r="O419" s="8" t="s">
        <v>41</v>
      </c>
      <c r="P419" s="6" t="s">
        <v>68</v>
      </c>
      <c r="Q419" s="8" t="s">
        <v>43</v>
      </c>
      <c r="R419" s="10" t="s">
        <v>2430</v>
      </c>
      <c r="S419" s="11"/>
      <c r="T419" s="6"/>
      <c r="U419" s="28" t="str">
        <f>HYPERLINK("https://media.infra-m.ru/2064/2064556/cover/2064556.jpg", "Обложка")</f>
        <v>Обложка</v>
      </c>
      <c r="V419" s="28" t="str">
        <f>HYPERLINK("https://znanium.com/catalog/product/2064556", "Ознакомиться")</f>
        <v>Ознакомиться</v>
      </c>
      <c r="W419" s="8" t="s">
        <v>124</v>
      </c>
      <c r="X419" s="6"/>
      <c r="Y419" s="6"/>
      <c r="Z419" s="6"/>
      <c r="AA419" s="6" t="s">
        <v>2431</v>
      </c>
    </row>
    <row r="420" spans="1:27" s="4" customFormat="1" ht="42" customHeight="1">
      <c r="A420" s="5">
        <v>0</v>
      </c>
      <c r="B420" s="6" t="s">
        <v>2432</v>
      </c>
      <c r="C420" s="13">
        <v>2894</v>
      </c>
      <c r="D420" s="8" t="s">
        <v>2433</v>
      </c>
      <c r="E420" s="8" t="s">
        <v>2434</v>
      </c>
      <c r="F420" s="8" t="s">
        <v>2435</v>
      </c>
      <c r="G420" s="6" t="s">
        <v>37</v>
      </c>
      <c r="H420" s="6" t="s">
        <v>38</v>
      </c>
      <c r="I420" s="8" t="s">
        <v>2349</v>
      </c>
      <c r="J420" s="9">
        <v>1</v>
      </c>
      <c r="K420" s="9">
        <v>752</v>
      </c>
      <c r="L420" s="9">
        <v>2024</v>
      </c>
      <c r="M420" s="8" t="s">
        <v>2436</v>
      </c>
      <c r="N420" s="8" t="s">
        <v>40</v>
      </c>
      <c r="O420" s="8" t="s">
        <v>41</v>
      </c>
      <c r="P420" s="6" t="s">
        <v>68</v>
      </c>
      <c r="Q420" s="8" t="s">
        <v>43</v>
      </c>
      <c r="R420" s="10" t="s">
        <v>304</v>
      </c>
      <c r="S420" s="11"/>
      <c r="T420" s="6"/>
      <c r="U420" s="28" t="str">
        <f>HYPERLINK("https://media.infra-m.ru/2063/2063442/cover/2063442.jpg", "Обложка")</f>
        <v>Обложка</v>
      </c>
      <c r="V420" s="28" t="str">
        <f>HYPERLINK("https://znanium.com/catalog/product/1302340", "Ознакомиться")</f>
        <v>Ознакомиться</v>
      </c>
      <c r="W420" s="8" t="s">
        <v>114</v>
      </c>
      <c r="X420" s="6"/>
      <c r="Y420" s="6"/>
      <c r="Z420" s="6"/>
      <c r="AA420" s="6" t="s">
        <v>2437</v>
      </c>
    </row>
    <row r="421" spans="1:27" s="4" customFormat="1" ht="42" customHeight="1">
      <c r="A421" s="5">
        <v>0</v>
      </c>
      <c r="B421" s="6" t="s">
        <v>2438</v>
      </c>
      <c r="C421" s="7">
        <v>899.9</v>
      </c>
      <c r="D421" s="8" t="s">
        <v>2439</v>
      </c>
      <c r="E421" s="8" t="s">
        <v>2440</v>
      </c>
      <c r="F421" s="8" t="s">
        <v>2435</v>
      </c>
      <c r="G421" s="6" t="s">
        <v>1726</v>
      </c>
      <c r="H421" s="6" t="s">
        <v>38</v>
      </c>
      <c r="I421" s="8" t="s">
        <v>2349</v>
      </c>
      <c r="J421" s="9">
        <v>6</v>
      </c>
      <c r="K421" s="9">
        <v>672</v>
      </c>
      <c r="L421" s="9">
        <v>2015</v>
      </c>
      <c r="M421" s="8" t="s">
        <v>2441</v>
      </c>
      <c r="N421" s="8" t="s">
        <v>40</v>
      </c>
      <c r="O421" s="8" t="s">
        <v>41</v>
      </c>
      <c r="P421" s="6" t="s">
        <v>68</v>
      </c>
      <c r="Q421" s="8" t="s">
        <v>43</v>
      </c>
      <c r="R421" s="10" t="s">
        <v>304</v>
      </c>
      <c r="S421" s="11"/>
      <c r="T421" s="6"/>
      <c r="U421" s="28" t="str">
        <f>HYPERLINK("https://media.infra-m.ru/0513/0513636/cover/513636.jpg", "Обложка")</f>
        <v>Обложка</v>
      </c>
      <c r="V421" s="28" t="str">
        <f>HYPERLINK("https://znanium.com/catalog/product/1302340", "Ознакомиться")</f>
        <v>Ознакомиться</v>
      </c>
      <c r="W421" s="8" t="s">
        <v>114</v>
      </c>
      <c r="X421" s="6"/>
      <c r="Y421" s="6"/>
      <c r="Z421" s="6"/>
      <c r="AA421" s="6" t="s">
        <v>2442</v>
      </c>
    </row>
    <row r="422" spans="1:27" s="4" customFormat="1" ht="51.95" customHeight="1">
      <c r="A422" s="5">
        <v>0</v>
      </c>
      <c r="B422" s="6" t="s">
        <v>2443</v>
      </c>
      <c r="C422" s="13">
        <v>2250</v>
      </c>
      <c r="D422" s="8" t="s">
        <v>2444</v>
      </c>
      <c r="E422" s="8" t="s">
        <v>2445</v>
      </c>
      <c r="F422" s="8" t="s">
        <v>2446</v>
      </c>
      <c r="G422" s="6" t="s">
        <v>58</v>
      </c>
      <c r="H422" s="6" t="s">
        <v>38</v>
      </c>
      <c r="I422" s="8"/>
      <c r="J422" s="9">
        <v>1</v>
      </c>
      <c r="K422" s="9">
        <v>488</v>
      </c>
      <c r="L422" s="9">
        <v>2023</v>
      </c>
      <c r="M422" s="8" t="s">
        <v>2447</v>
      </c>
      <c r="N422" s="8" t="s">
        <v>40</v>
      </c>
      <c r="O422" s="8" t="s">
        <v>41</v>
      </c>
      <c r="P422" s="6" t="s">
        <v>68</v>
      </c>
      <c r="Q422" s="8" t="s">
        <v>43</v>
      </c>
      <c r="R422" s="10" t="s">
        <v>2448</v>
      </c>
      <c r="S422" s="11"/>
      <c r="T422" s="6"/>
      <c r="U422" s="28" t="str">
        <f>HYPERLINK("https://media.infra-m.ru/2023/2023174/cover/2023174.jpg", "Обложка")</f>
        <v>Обложка</v>
      </c>
      <c r="V422" s="28" t="str">
        <f>HYPERLINK("https://znanium.com/catalog/product/1902442", "Ознакомиться")</f>
        <v>Ознакомиться</v>
      </c>
      <c r="W422" s="8" t="s">
        <v>1362</v>
      </c>
      <c r="X422" s="6"/>
      <c r="Y422" s="6"/>
      <c r="Z422" s="6"/>
      <c r="AA422" s="6" t="s">
        <v>343</v>
      </c>
    </row>
    <row r="423" spans="1:27" s="4" customFormat="1" ht="42" customHeight="1">
      <c r="A423" s="5">
        <v>0</v>
      </c>
      <c r="B423" s="6" t="s">
        <v>2449</v>
      </c>
      <c r="C423" s="7">
        <v>224.9</v>
      </c>
      <c r="D423" s="8" t="s">
        <v>2450</v>
      </c>
      <c r="E423" s="8" t="s">
        <v>2451</v>
      </c>
      <c r="F423" s="8" t="s">
        <v>2452</v>
      </c>
      <c r="G423" s="6" t="s">
        <v>51</v>
      </c>
      <c r="H423" s="6" t="s">
        <v>2453</v>
      </c>
      <c r="I423" s="8"/>
      <c r="J423" s="9">
        <v>1</v>
      </c>
      <c r="K423" s="9">
        <v>76</v>
      </c>
      <c r="L423" s="9">
        <v>2017</v>
      </c>
      <c r="M423" s="8" t="s">
        <v>2454</v>
      </c>
      <c r="N423" s="8" t="s">
        <v>40</v>
      </c>
      <c r="O423" s="8" t="s">
        <v>41</v>
      </c>
      <c r="P423" s="6" t="s">
        <v>68</v>
      </c>
      <c r="Q423" s="8" t="s">
        <v>43</v>
      </c>
      <c r="R423" s="10"/>
      <c r="S423" s="11"/>
      <c r="T423" s="6"/>
      <c r="U423" s="28" t="str">
        <f>HYPERLINK("https://media.infra-m.ru/0911/0911005/cover/911005.jpg", "Обложка")</f>
        <v>Обложка</v>
      </c>
      <c r="V423" s="12"/>
      <c r="W423" s="8" t="s">
        <v>45</v>
      </c>
      <c r="X423" s="6"/>
      <c r="Y423" s="6"/>
      <c r="Z423" s="6"/>
      <c r="AA423" s="6" t="s">
        <v>298</v>
      </c>
    </row>
    <row r="424" spans="1:27" s="4" customFormat="1" ht="51.95" customHeight="1">
      <c r="A424" s="5">
        <v>0</v>
      </c>
      <c r="B424" s="6" t="s">
        <v>2455</v>
      </c>
      <c r="C424" s="7">
        <v>410</v>
      </c>
      <c r="D424" s="8" t="s">
        <v>2456</v>
      </c>
      <c r="E424" s="8" t="s">
        <v>2457</v>
      </c>
      <c r="F424" s="8" t="s">
        <v>2458</v>
      </c>
      <c r="G424" s="6" t="s">
        <v>51</v>
      </c>
      <c r="H424" s="6" t="s">
        <v>84</v>
      </c>
      <c r="I424" s="8" t="s">
        <v>85</v>
      </c>
      <c r="J424" s="9">
        <v>1</v>
      </c>
      <c r="K424" s="9">
        <v>120</v>
      </c>
      <c r="L424" s="9">
        <v>2019</v>
      </c>
      <c r="M424" s="8" t="s">
        <v>2459</v>
      </c>
      <c r="N424" s="8" t="s">
        <v>40</v>
      </c>
      <c r="O424" s="8" t="s">
        <v>41</v>
      </c>
      <c r="P424" s="6" t="s">
        <v>68</v>
      </c>
      <c r="Q424" s="8" t="s">
        <v>43</v>
      </c>
      <c r="R424" s="10" t="s">
        <v>304</v>
      </c>
      <c r="S424" s="11"/>
      <c r="T424" s="6"/>
      <c r="U424" s="28" t="str">
        <f>HYPERLINK("https://media.infra-m.ru/1005/1005923/cover/1005923.jpg", "Обложка")</f>
        <v>Обложка</v>
      </c>
      <c r="V424" s="28" t="str">
        <f>HYPERLINK("https://znanium.com/catalog/product/1005923", "Ознакомиться")</f>
        <v>Ознакомиться</v>
      </c>
      <c r="W424" s="8" t="s">
        <v>45</v>
      </c>
      <c r="X424" s="6"/>
      <c r="Y424" s="6"/>
      <c r="Z424" s="6"/>
      <c r="AA424" s="6" t="s">
        <v>148</v>
      </c>
    </row>
    <row r="425" spans="1:27" s="4" customFormat="1" ht="42" customHeight="1">
      <c r="A425" s="5">
        <v>0</v>
      </c>
      <c r="B425" s="6" t="s">
        <v>2460</v>
      </c>
      <c r="C425" s="7">
        <v>840</v>
      </c>
      <c r="D425" s="8" t="s">
        <v>2461</v>
      </c>
      <c r="E425" s="8" t="s">
        <v>2462</v>
      </c>
      <c r="F425" s="8" t="s">
        <v>2463</v>
      </c>
      <c r="G425" s="6" t="s">
        <v>51</v>
      </c>
      <c r="H425" s="6" t="s">
        <v>84</v>
      </c>
      <c r="I425" s="8" t="s">
        <v>85</v>
      </c>
      <c r="J425" s="9">
        <v>1</v>
      </c>
      <c r="K425" s="9">
        <v>212</v>
      </c>
      <c r="L425" s="9">
        <v>2021</v>
      </c>
      <c r="M425" s="8" t="s">
        <v>2464</v>
      </c>
      <c r="N425" s="8" t="s">
        <v>40</v>
      </c>
      <c r="O425" s="8" t="s">
        <v>41</v>
      </c>
      <c r="P425" s="6" t="s">
        <v>68</v>
      </c>
      <c r="Q425" s="8" t="s">
        <v>43</v>
      </c>
      <c r="R425" s="10" t="s">
        <v>113</v>
      </c>
      <c r="S425" s="11"/>
      <c r="T425" s="6"/>
      <c r="U425" s="28" t="str">
        <f>HYPERLINK("https://media.infra-m.ru/1195/1195494/cover/1195494.jpg", "Обложка")</f>
        <v>Обложка</v>
      </c>
      <c r="V425" s="28" t="str">
        <f>HYPERLINK("https://znanium.com/catalog/product/1195494", "Ознакомиться")</f>
        <v>Ознакомиться</v>
      </c>
      <c r="W425" s="8" t="s">
        <v>1285</v>
      </c>
      <c r="X425" s="6"/>
      <c r="Y425" s="6"/>
      <c r="Z425" s="6"/>
      <c r="AA425" s="6" t="s">
        <v>148</v>
      </c>
    </row>
    <row r="426" spans="1:27" s="4" customFormat="1" ht="51.95" customHeight="1">
      <c r="A426" s="5">
        <v>0</v>
      </c>
      <c r="B426" s="6" t="s">
        <v>2465</v>
      </c>
      <c r="C426" s="7">
        <v>260</v>
      </c>
      <c r="D426" s="8" t="s">
        <v>2466</v>
      </c>
      <c r="E426" s="8" t="s">
        <v>2467</v>
      </c>
      <c r="F426" s="8" t="s">
        <v>2468</v>
      </c>
      <c r="G426" s="6" t="s">
        <v>51</v>
      </c>
      <c r="H426" s="6" t="s">
        <v>84</v>
      </c>
      <c r="I426" s="8"/>
      <c r="J426" s="9">
        <v>1</v>
      </c>
      <c r="K426" s="9">
        <v>96</v>
      </c>
      <c r="L426" s="9">
        <v>2018</v>
      </c>
      <c r="M426" s="8" t="s">
        <v>2469</v>
      </c>
      <c r="N426" s="8" t="s">
        <v>40</v>
      </c>
      <c r="O426" s="8" t="s">
        <v>41</v>
      </c>
      <c r="P426" s="6" t="s">
        <v>68</v>
      </c>
      <c r="Q426" s="8" t="s">
        <v>43</v>
      </c>
      <c r="R426" s="10" t="s">
        <v>2470</v>
      </c>
      <c r="S426" s="11"/>
      <c r="T426" s="6"/>
      <c r="U426" s="28" t="str">
        <f>HYPERLINK("https://media.infra-m.ru/0930/0930629/cover/930629.jpg", "Обложка")</f>
        <v>Обложка</v>
      </c>
      <c r="V426" s="28" t="str">
        <f>HYPERLINK("https://znanium.com/catalog/product/930629", "Ознакомиться")</f>
        <v>Ознакомиться</v>
      </c>
      <c r="W426" s="8" t="s">
        <v>45</v>
      </c>
      <c r="X426" s="6"/>
      <c r="Y426" s="6"/>
      <c r="Z426" s="6"/>
      <c r="AA426" s="6" t="s">
        <v>88</v>
      </c>
    </row>
    <row r="427" spans="1:27" s="4" customFormat="1" ht="51.95" customHeight="1">
      <c r="A427" s="5">
        <v>0</v>
      </c>
      <c r="B427" s="6" t="s">
        <v>2471</v>
      </c>
      <c r="C427" s="13">
        <v>1744.9</v>
      </c>
      <c r="D427" s="8" t="s">
        <v>2472</v>
      </c>
      <c r="E427" s="8" t="s">
        <v>2473</v>
      </c>
      <c r="F427" s="8" t="s">
        <v>2474</v>
      </c>
      <c r="G427" s="6" t="s">
        <v>58</v>
      </c>
      <c r="H427" s="6" t="s">
        <v>1916</v>
      </c>
      <c r="I427" s="8"/>
      <c r="J427" s="9">
        <v>1</v>
      </c>
      <c r="K427" s="9">
        <v>512</v>
      </c>
      <c r="L427" s="9">
        <v>2019</v>
      </c>
      <c r="M427" s="8" t="s">
        <v>2475</v>
      </c>
      <c r="N427" s="8" t="s">
        <v>40</v>
      </c>
      <c r="O427" s="8" t="s">
        <v>41</v>
      </c>
      <c r="P427" s="6" t="s">
        <v>42</v>
      </c>
      <c r="Q427" s="8" t="s">
        <v>43</v>
      </c>
      <c r="R427" s="10" t="s">
        <v>2476</v>
      </c>
      <c r="S427" s="11"/>
      <c r="T427" s="6"/>
      <c r="U427" s="28" t="str">
        <f>HYPERLINK("https://media.infra-m.ru/1014/1014070/cover/1014070.jpg", "Обложка")</f>
        <v>Обложка</v>
      </c>
      <c r="V427" s="28" t="str">
        <f>HYPERLINK("https://znanium.com/catalog/product/1014070", "Ознакомиться")</f>
        <v>Ознакомиться</v>
      </c>
      <c r="W427" s="8" t="s">
        <v>1482</v>
      </c>
      <c r="X427" s="6"/>
      <c r="Y427" s="6"/>
      <c r="Z427" s="6"/>
      <c r="AA427" s="6" t="s">
        <v>2477</v>
      </c>
    </row>
    <row r="428" spans="1:27" s="4" customFormat="1" ht="21.95" customHeight="1">
      <c r="A428" s="5">
        <v>0</v>
      </c>
      <c r="B428" s="6" t="s">
        <v>2478</v>
      </c>
      <c r="C428" s="7">
        <v>144.9</v>
      </c>
      <c r="D428" s="8" t="s">
        <v>2479</v>
      </c>
      <c r="E428" s="8" t="s">
        <v>2480</v>
      </c>
      <c r="F428" s="8" t="s">
        <v>799</v>
      </c>
      <c r="G428" s="6" t="s">
        <v>51</v>
      </c>
      <c r="H428" s="6" t="s">
        <v>52</v>
      </c>
      <c r="I428" s="8" t="s">
        <v>226</v>
      </c>
      <c r="J428" s="9">
        <v>1</v>
      </c>
      <c r="K428" s="9">
        <v>160</v>
      </c>
      <c r="L428" s="9">
        <v>2018</v>
      </c>
      <c r="M428" s="8" t="s">
        <v>2481</v>
      </c>
      <c r="N428" s="8" t="s">
        <v>40</v>
      </c>
      <c r="O428" s="8" t="s">
        <v>41</v>
      </c>
      <c r="P428" s="6" t="s">
        <v>228</v>
      </c>
      <c r="Q428" s="8" t="s">
        <v>76</v>
      </c>
      <c r="R428" s="10"/>
      <c r="S428" s="11"/>
      <c r="T428" s="6"/>
      <c r="U428" s="12"/>
      <c r="V428" s="12"/>
      <c r="W428" s="8"/>
      <c r="X428" s="6"/>
      <c r="Y428" s="6"/>
      <c r="Z428" s="6"/>
      <c r="AA428" s="6" t="s">
        <v>693</v>
      </c>
    </row>
    <row r="429" spans="1:27" s="4" customFormat="1" ht="51.95" customHeight="1">
      <c r="A429" s="5">
        <v>0</v>
      </c>
      <c r="B429" s="6" t="s">
        <v>2482</v>
      </c>
      <c r="C429" s="13">
        <v>1850</v>
      </c>
      <c r="D429" s="8" t="s">
        <v>2483</v>
      </c>
      <c r="E429" s="8" t="s">
        <v>2484</v>
      </c>
      <c r="F429" s="8" t="s">
        <v>876</v>
      </c>
      <c r="G429" s="6" t="s">
        <v>58</v>
      </c>
      <c r="H429" s="6" t="s">
        <v>84</v>
      </c>
      <c r="I429" s="8" t="s">
        <v>251</v>
      </c>
      <c r="J429" s="9">
        <v>1</v>
      </c>
      <c r="K429" s="9">
        <v>409</v>
      </c>
      <c r="L429" s="9">
        <v>2022</v>
      </c>
      <c r="M429" s="8" t="s">
        <v>2485</v>
      </c>
      <c r="N429" s="8" t="s">
        <v>40</v>
      </c>
      <c r="O429" s="8" t="s">
        <v>41</v>
      </c>
      <c r="P429" s="6" t="s">
        <v>42</v>
      </c>
      <c r="Q429" s="8" t="s">
        <v>43</v>
      </c>
      <c r="R429" s="10" t="s">
        <v>2486</v>
      </c>
      <c r="S429" s="11"/>
      <c r="T429" s="6"/>
      <c r="U429" s="28" t="str">
        <f>HYPERLINK("https://media.infra-m.ru/1867/1867634/cover/1867634.jpg", "Обложка")</f>
        <v>Обложка</v>
      </c>
      <c r="V429" s="28" t="str">
        <f>HYPERLINK("https://znanium.com/catalog/product/1867634", "Ознакомиться")</f>
        <v>Ознакомиться</v>
      </c>
      <c r="W429" s="8" t="s">
        <v>503</v>
      </c>
      <c r="X429" s="6"/>
      <c r="Y429" s="6"/>
      <c r="Z429" s="6"/>
      <c r="AA429" s="6" t="s">
        <v>343</v>
      </c>
    </row>
    <row r="430" spans="1:27" s="4" customFormat="1" ht="42" customHeight="1">
      <c r="A430" s="5">
        <v>0</v>
      </c>
      <c r="B430" s="6" t="s">
        <v>2487</v>
      </c>
      <c r="C430" s="7">
        <v>714.9</v>
      </c>
      <c r="D430" s="8" t="s">
        <v>2488</v>
      </c>
      <c r="E430" s="8" t="s">
        <v>2489</v>
      </c>
      <c r="F430" s="8" t="s">
        <v>2490</v>
      </c>
      <c r="G430" s="6" t="s">
        <v>58</v>
      </c>
      <c r="H430" s="6" t="s">
        <v>38</v>
      </c>
      <c r="I430" s="8"/>
      <c r="J430" s="9">
        <v>1</v>
      </c>
      <c r="K430" s="9">
        <v>240</v>
      </c>
      <c r="L430" s="9">
        <v>2020</v>
      </c>
      <c r="M430" s="8" t="s">
        <v>2491</v>
      </c>
      <c r="N430" s="8" t="s">
        <v>40</v>
      </c>
      <c r="O430" s="8" t="s">
        <v>41</v>
      </c>
      <c r="P430" s="6" t="s">
        <v>42</v>
      </c>
      <c r="Q430" s="8" t="s">
        <v>43</v>
      </c>
      <c r="R430" s="10" t="s">
        <v>69</v>
      </c>
      <c r="S430" s="11"/>
      <c r="T430" s="6"/>
      <c r="U430" s="28" t="str">
        <f>HYPERLINK("https://media.infra-m.ru/1073/1073640/cover/1073640.jpg", "Обложка")</f>
        <v>Обложка</v>
      </c>
      <c r="V430" s="28" t="str">
        <f>HYPERLINK("https://znanium.com/catalog/product/1073640", "Ознакомиться")</f>
        <v>Ознакомиться</v>
      </c>
      <c r="W430" s="8" t="s">
        <v>2492</v>
      </c>
      <c r="X430" s="6"/>
      <c r="Y430" s="6"/>
      <c r="Z430" s="6"/>
      <c r="AA430" s="6" t="s">
        <v>622</v>
      </c>
    </row>
    <row r="431" spans="1:27" s="4" customFormat="1" ht="42" customHeight="1">
      <c r="A431" s="5">
        <v>0</v>
      </c>
      <c r="B431" s="6" t="s">
        <v>2493</v>
      </c>
      <c r="C431" s="7">
        <v>730</v>
      </c>
      <c r="D431" s="8" t="s">
        <v>2494</v>
      </c>
      <c r="E431" s="8" t="s">
        <v>2495</v>
      </c>
      <c r="F431" s="8" t="s">
        <v>2496</v>
      </c>
      <c r="G431" s="6" t="s">
        <v>51</v>
      </c>
      <c r="H431" s="6" t="s">
        <v>38</v>
      </c>
      <c r="I431" s="8"/>
      <c r="J431" s="9">
        <v>1</v>
      </c>
      <c r="K431" s="9">
        <v>144</v>
      </c>
      <c r="L431" s="9">
        <v>2022</v>
      </c>
      <c r="M431" s="8" t="s">
        <v>2497</v>
      </c>
      <c r="N431" s="8" t="s">
        <v>40</v>
      </c>
      <c r="O431" s="8" t="s">
        <v>41</v>
      </c>
      <c r="P431" s="6" t="s">
        <v>2498</v>
      </c>
      <c r="Q431" s="8" t="s">
        <v>43</v>
      </c>
      <c r="R431" s="10" t="s">
        <v>304</v>
      </c>
      <c r="S431" s="11"/>
      <c r="T431" s="6"/>
      <c r="U431" s="28" t="str">
        <f>HYPERLINK("https://media.infra-m.ru/1858/1858583/cover/1858583.jpg", "Обложка")</f>
        <v>Обложка</v>
      </c>
      <c r="V431" s="28" t="str">
        <f>HYPERLINK("https://znanium.com/catalog/product/1858583", "Ознакомиться")</f>
        <v>Ознакомиться</v>
      </c>
      <c r="W431" s="8" t="s">
        <v>692</v>
      </c>
      <c r="X431" s="6"/>
      <c r="Y431" s="6"/>
      <c r="Z431" s="6"/>
      <c r="AA431" s="6" t="s">
        <v>148</v>
      </c>
    </row>
    <row r="432" spans="1:27" s="4" customFormat="1" ht="44.1" customHeight="1">
      <c r="A432" s="5">
        <v>0</v>
      </c>
      <c r="B432" s="6" t="s">
        <v>2499</v>
      </c>
      <c r="C432" s="7">
        <v>790</v>
      </c>
      <c r="D432" s="8" t="s">
        <v>2500</v>
      </c>
      <c r="E432" s="8" t="s">
        <v>2501</v>
      </c>
      <c r="F432" s="8" t="s">
        <v>2502</v>
      </c>
      <c r="G432" s="6" t="s">
        <v>51</v>
      </c>
      <c r="H432" s="6" t="s">
        <v>84</v>
      </c>
      <c r="I432" s="8" t="s">
        <v>251</v>
      </c>
      <c r="J432" s="9">
        <v>1</v>
      </c>
      <c r="K432" s="9">
        <v>175</v>
      </c>
      <c r="L432" s="9">
        <v>2022</v>
      </c>
      <c r="M432" s="8" t="s">
        <v>2503</v>
      </c>
      <c r="N432" s="8" t="s">
        <v>40</v>
      </c>
      <c r="O432" s="8" t="s">
        <v>41</v>
      </c>
      <c r="P432" s="6" t="s">
        <v>42</v>
      </c>
      <c r="Q432" s="8" t="s">
        <v>43</v>
      </c>
      <c r="R432" s="10" t="s">
        <v>2504</v>
      </c>
      <c r="S432" s="11"/>
      <c r="T432" s="6"/>
      <c r="U432" s="28" t="str">
        <f>HYPERLINK("https://media.infra-m.ru/1860/1860937/cover/1860937.jpg", "Обложка")</f>
        <v>Обложка</v>
      </c>
      <c r="V432" s="28" t="str">
        <f>HYPERLINK("https://znanium.com/catalog/product/1860937", "Ознакомиться")</f>
        <v>Ознакомиться</v>
      </c>
      <c r="W432" s="8"/>
      <c r="X432" s="6"/>
      <c r="Y432" s="6"/>
      <c r="Z432" s="6"/>
      <c r="AA432" s="6" t="s">
        <v>343</v>
      </c>
    </row>
    <row r="433" spans="1:27" s="4" customFormat="1" ht="42" customHeight="1">
      <c r="A433" s="5">
        <v>0</v>
      </c>
      <c r="B433" s="6" t="s">
        <v>2505</v>
      </c>
      <c r="C433" s="7">
        <v>920</v>
      </c>
      <c r="D433" s="8" t="s">
        <v>2506</v>
      </c>
      <c r="E433" s="8" t="s">
        <v>2507</v>
      </c>
      <c r="F433" s="8" t="s">
        <v>1761</v>
      </c>
      <c r="G433" s="6" t="s">
        <v>51</v>
      </c>
      <c r="H433" s="6" t="s">
        <v>38</v>
      </c>
      <c r="I433" s="8"/>
      <c r="J433" s="9">
        <v>1</v>
      </c>
      <c r="K433" s="9">
        <v>240</v>
      </c>
      <c r="L433" s="9">
        <v>2021</v>
      </c>
      <c r="M433" s="8" t="s">
        <v>2508</v>
      </c>
      <c r="N433" s="8" t="s">
        <v>40</v>
      </c>
      <c r="O433" s="8" t="s">
        <v>41</v>
      </c>
      <c r="P433" s="6" t="s">
        <v>42</v>
      </c>
      <c r="Q433" s="8" t="s">
        <v>43</v>
      </c>
      <c r="R433" s="10" t="s">
        <v>442</v>
      </c>
      <c r="S433" s="11"/>
      <c r="T433" s="6"/>
      <c r="U433" s="28" t="str">
        <f>HYPERLINK("https://media.infra-m.ru/1362/1362125/cover/1362125.jpg", "Обложка")</f>
        <v>Обложка</v>
      </c>
      <c r="V433" s="28" t="str">
        <f>HYPERLINK("https://znanium.com/catalog/product/1362125", "Ознакомиться")</f>
        <v>Ознакомиться</v>
      </c>
      <c r="W433" s="8" t="s">
        <v>1765</v>
      </c>
      <c r="X433" s="6"/>
      <c r="Y433" s="6"/>
      <c r="Z433" s="6"/>
      <c r="AA433" s="6" t="s">
        <v>88</v>
      </c>
    </row>
    <row r="434" spans="1:27" s="4" customFormat="1" ht="51.95" customHeight="1">
      <c r="A434" s="5">
        <v>0</v>
      </c>
      <c r="B434" s="6" t="s">
        <v>2509</v>
      </c>
      <c r="C434" s="13">
        <v>1660</v>
      </c>
      <c r="D434" s="8" t="s">
        <v>2510</v>
      </c>
      <c r="E434" s="8" t="s">
        <v>2511</v>
      </c>
      <c r="F434" s="8" t="s">
        <v>2512</v>
      </c>
      <c r="G434" s="6" t="s">
        <v>58</v>
      </c>
      <c r="H434" s="6" t="s">
        <v>38</v>
      </c>
      <c r="I434" s="8"/>
      <c r="J434" s="9">
        <v>1</v>
      </c>
      <c r="K434" s="9">
        <v>368</v>
      </c>
      <c r="L434" s="9">
        <v>2023</v>
      </c>
      <c r="M434" s="8" t="s">
        <v>2513</v>
      </c>
      <c r="N434" s="8" t="s">
        <v>40</v>
      </c>
      <c r="O434" s="8" t="s">
        <v>41</v>
      </c>
      <c r="P434" s="6" t="s">
        <v>42</v>
      </c>
      <c r="Q434" s="8" t="s">
        <v>43</v>
      </c>
      <c r="R434" s="10" t="s">
        <v>2514</v>
      </c>
      <c r="S434" s="11"/>
      <c r="T434" s="6"/>
      <c r="U434" s="28" t="str">
        <f>HYPERLINK("https://media.infra-m.ru/1911/1911601/cover/1911601.jpg", "Обложка")</f>
        <v>Обложка</v>
      </c>
      <c r="V434" s="28" t="str">
        <f>HYPERLINK("https://znanium.com/catalog/product/1911601", "Ознакомиться")</f>
        <v>Ознакомиться</v>
      </c>
      <c r="W434" s="8" t="s">
        <v>114</v>
      </c>
      <c r="X434" s="6" t="s">
        <v>407</v>
      </c>
      <c r="Y434" s="6"/>
      <c r="Z434" s="6"/>
      <c r="AA434" s="6" t="s">
        <v>408</v>
      </c>
    </row>
    <row r="435" spans="1:27" s="4" customFormat="1" ht="42" customHeight="1">
      <c r="A435" s="5">
        <v>0</v>
      </c>
      <c r="B435" s="6" t="s">
        <v>2515</v>
      </c>
      <c r="C435" s="13">
        <v>1064.9000000000001</v>
      </c>
      <c r="D435" s="8" t="s">
        <v>2516</v>
      </c>
      <c r="E435" s="8" t="s">
        <v>2517</v>
      </c>
      <c r="F435" s="8" t="s">
        <v>1761</v>
      </c>
      <c r="G435" s="6" t="s">
        <v>58</v>
      </c>
      <c r="H435" s="6" t="s">
        <v>38</v>
      </c>
      <c r="I435" s="8"/>
      <c r="J435" s="9">
        <v>1</v>
      </c>
      <c r="K435" s="9">
        <v>304</v>
      </c>
      <c r="L435" s="9">
        <v>2020</v>
      </c>
      <c r="M435" s="8" t="s">
        <v>2518</v>
      </c>
      <c r="N435" s="8" t="s">
        <v>40</v>
      </c>
      <c r="O435" s="8" t="s">
        <v>41</v>
      </c>
      <c r="P435" s="6" t="s">
        <v>42</v>
      </c>
      <c r="Q435" s="8" t="s">
        <v>43</v>
      </c>
      <c r="R435" s="10" t="s">
        <v>2519</v>
      </c>
      <c r="S435" s="11"/>
      <c r="T435" s="6"/>
      <c r="U435" s="28" t="str">
        <f>HYPERLINK("https://media.infra-m.ru/1045/1045786/cover/1045786.jpg", "Обложка")</f>
        <v>Обложка</v>
      </c>
      <c r="V435" s="28" t="str">
        <f>HYPERLINK("https://znanium.com/catalog/product/1045786", "Ознакомиться")</f>
        <v>Ознакомиться</v>
      </c>
      <c r="W435" s="8" t="s">
        <v>1765</v>
      </c>
      <c r="X435" s="6"/>
      <c r="Y435" s="6"/>
      <c r="Z435" s="6"/>
      <c r="AA435" s="6" t="s">
        <v>148</v>
      </c>
    </row>
    <row r="436" spans="1:27" s="4" customFormat="1" ht="42" customHeight="1">
      <c r="A436" s="5">
        <v>0</v>
      </c>
      <c r="B436" s="6" t="s">
        <v>2520</v>
      </c>
      <c r="C436" s="7">
        <v>434.9</v>
      </c>
      <c r="D436" s="8" t="s">
        <v>2521</v>
      </c>
      <c r="E436" s="8" t="s">
        <v>2522</v>
      </c>
      <c r="F436" s="8" t="s">
        <v>2523</v>
      </c>
      <c r="G436" s="6" t="s">
        <v>58</v>
      </c>
      <c r="H436" s="6" t="s">
        <v>38</v>
      </c>
      <c r="I436" s="8"/>
      <c r="J436" s="9">
        <v>1</v>
      </c>
      <c r="K436" s="9">
        <v>160</v>
      </c>
      <c r="L436" s="9">
        <v>2019</v>
      </c>
      <c r="M436" s="8" t="s">
        <v>2524</v>
      </c>
      <c r="N436" s="8" t="s">
        <v>40</v>
      </c>
      <c r="O436" s="8" t="s">
        <v>41</v>
      </c>
      <c r="P436" s="6" t="s">
        <v>42</v>
      </c>
      <c r="Q436" s="8" t="s">
        <v>43</v>
      </c>
      <c r="R436" s="10" t="s">
        <v>776</v>
      </c>
      <c r="S436" s="11"/>
      <c r="T436" s="6"/>
      <c r="U436" s="28" t="str">
        <f>HYPERLINK("https://media.infra-m.ru/1021/1021434/cover/1021434.jpg", "Обложка")</f>
        <v>Обложка</v>
      </c>
      <c r="V436" s="28" t="str">
        <f>HYPERLINK("https://znanium.com/catalog/product/1021434", "Ознакомиться")</f>
        <v>Ознакомиться</v>
      </c>
      <c r="W436" s="8" t="s">
        <v>107</v>
      </c>
      <c r="X436" s="6"/>
      <c r="Y436" s="6"/>
      <c r="Z436" s="6"/>
      <c r="AA436" s="6" t="s">
        <v>289</v>
      </c>
    </row>
    <row r="437" spans="1:27" s="4" customFormat="1" ht="42" customHeight="1">
      <c r="A437" s="5">
        <v>0</v>
      </c>
      <c r="B437" s="6" t="s">
        <v>2525</v>
      </c>
      <c r="C437" s="13">
        <v>1564.9</v>
      </c>
      <c r="D437" s="8" t="s">
        <v>2526</v>
      </c>
      <c r="E437" s="8" t="s">
        <v>2527</v>
      </c>
      <c r="F437" s="8" t="s">
        <v>2528</v>
      </c>
      <c r="G437" s="6" t="s">
        <v>58</v>
      </c>
      <c r="H437" s="6" t="s">
        <v>38</v>
      </c>
      <c r="I437" s="8"/>
      <c r="J437" s="9">
        <v>1</v>
      </c>
      <c r="K437" s="9">
        <v>448</v>
      </c>
      <c r="L437" s="9">
        <v>2020</v>
      </c>
      <c r="M437" s="8" t="s">
        <v>2529</v>
      </c>
      <c r="N437" s="8" t="s">
        <v>40</v>
      </c>
      <c r="O437" s="8" t="s">
        <v>41</v>
      </c>
      <c r="P437" s="6" t="s">
        <v>42</v>
      </c>
      <c r="Q437" s="8" t="s">
        <v>43</v>
      </c>
      <c r="R437" s="10" t="s">
        <v>113</v>
      </c>
      <c r="S437" s="11"/>
      <c r="T437" s="6"/>
      <c r="U437" s="28" t="str">
        <f>HYPERLINK("https://media.infra-m.ru/1036/1036628/cover/1036628.jpg", "Обложка")</f>
        <v>Обложка</v>
      </c>
      <c r="V437" s="28" t="str">
        <f>HYPERLINK("https://znanium.com/catalog/product/1036628", "Ознакомиться")</f>
        <v>Ознакомиться</v>
      </c>
      <c r="W437" s="8" t="s">
        <v>712</v>
      </c>
      <c r="X437" s="6"/>
      <c r="Y437" s="6"/>
      <c r="Z437" s="6"/>
      <c r="AA437" s="6" t="s">
        <v>422</v>
      </c>
    </row>
    <row r="438" spans="1:27" s="4" customFormat="1" ht="42" customHeight="1">
      <c r="A438" s="5">
        <v>0</v>
      </c>
      <c r="B438" s="6" t="s">
        <v>2530</v>
      </c>
      <c r="C438" s="13">
        <v>1384</v>
      </c>
      <c r="D438" s="8" t="s">
        <v>2531</v>
      </c>
      <c r="E438" s="8" t="s">
        <v>2532</v>
      </c>
      <c r="F438" s="8" t="s">
        <v>1392</v>
      </c>
      <c r="G438" s="6" t="s">
        <v>37</v>
      </c>
      <c r="H438" s="6" t="s">
        <v>84</v>
      </c>
      <c r="I438" s="8" t="s">
        <v>85</v>
      </c>
      <c r="J438" s="9">
        <v>1</v>
      </c>
      <c r="K438" s="9">
        <v>308</v>
      </c>
      <c r="L438" s="9">
        <v>2023</v>
      </c>
      <c r="M438" s="8" t="s">
        <v>2533</v>
      </c>
      <c r="N438" s="8" t="s">
        <v>40</v>
      </c>
      <c r="O438" s="8" t="s">
        <v>41</v>
      </c>
      <c r="P438" s="6" t="s">
        <v>42</v>
      </c>
      <c r="Q438" s="8" t="s">
        <v>43</v>
      </c>
      <c r="R438" s="10" t="s">
        <v>776</v>
      </c>
      <c r="S438" s="11"/>
      <c r="T438" s="6"/>
      <c r="U438" s="28" t="str">
        <f>HYPERLINK("https://media.infra-m.ru/1223/1223502/cover/1223502.jpg", "Обложка")</f>
        <v>Обложка</v>
      </c>
      <c r="V438" s="28" t="str">
        <f>HYPERLINK("https://znanium.com/catalog/product/1216136", "Ознакомиться")</f>
        <v>Ознакомиться</v>
      </c>
      <c r="W438" s="8" t="s">
        <v>45</v>
      </c>
      <c r="X438" s="6"/>
      <c r="Y438" s="6"/>
      <c r="Z438" s="6"/>
      <c r="AA438" s="6" t="s">
        <v>148</v>
      </c>
    </row>
    <row r="439" spans="1:27" s="4" customFormat="1" ht="44.1" customHeight="1">
      <c r="A439" s="5">
        <v>0</v>
      </c>
      <c r="B439" s="6" t="s">
        <v>2534</v>
      </c>
      <c r="C439" s="13">
        <v>1144.9000000000001</v>
      </c>
      <c r="D439" s="8" t="s">
        <v>2535</v>
      </c>
      <c r="E439" s="8" t="s">
        <v>2536</v>
      </c>
      <c r="F439" s="8" t="s">
        <v>716</v>
      </c>
      <c r="G439" s="6" t="s">
        <v>58</v>
      </c>
      <c r="H439" s="6" t="s">
        <v>38</v>
      </c>
      <c r="I439" s="8"/>
      <c r="J439" s="9">
        <v>1</v>
      </c>
      <c r="K439" s="9">
        <v>272</v>
      </c>
      <c r="L439" s="9">
        <v>2022</v>
      </c>
      <c r="M439" s="8" t="s">
        <v>2537</v>
      </c>
      <c r="N439" s="8" t="s">
        <v>40</v>
      </c>
      <c r="O439" s="8" t="s">
        <v>41</v>
      </c>
      <c r="P439" s="6" t="s">
        <v>42</v>
      </c>
      <c r="Q439" s="8" t="s">
        <v>43</v>
      </c>
      <c r="R439" s="10" t="s">
        <v>718</v>
      </c>
      <c r="S439" s="11"/>
      <c r="T439" s="6"/>
      <c r="U439" s="28" t="str">
        <f>HYPERLINK("https://media.infra-m.ru/1875/1875531/cover/1875531.jpg", "Обложка")</f>
        <v>Обложка</v>
      </c>
      <c r="V439" s="28" t="str">
        <f>HYPERLINK("https://znanium.com/catalog/product/1239422", "Ознакомиться")</f>
        <v>Ознакомиться</v>
      </c>
      <c r="W439" s="8" t="s">
        <v>78</v>
      </c>
      <c r="X439" s="6"/>
      <c r="Y439" s="6"/>
      <c r="Z439" s="6"/>
      <c r="AA439" s="6" t="s">
        <v>289</v>
      </c>
    </row>
    <row r="440" spans="1:27" s="4" customFormat="1" ht="44.1" customHeight="1">
      <c r="A440" s="5">
        <v>0</v>
      </c>
      <c r="B440" s="6" t="s">
        <v>2538</v>
      </c>
      <c r="C440" s="13">
        <v>2144.9</v>
      </c>
      <c r="D440" s="8" t="s">
        <v>2539</v>
      </c>
      <c r="E440" s="8" t="s">
        <v>2540</v>
      </c>
      <c r="F440" s="8" t="s">
        <v>2541</v>
      </c>
      <c r="G440" s="6" t="s">
        <v>58</v>
      </c>
      <c r="H440" s="6" t="s">
        <v>38</v>
      </c>
      <c r="I440" s="8"/>
      <c r="J440" s="9">
        <v>1</v>
      </c>
      <c r="K440" s="9">
        <v>672</v>
      </c>
      <c r="L440" s="9">
        <v>2023</v>
      </c>
      <c r="M440" s="8" t="s">
        <v>2542</v>
      </c>
      <c r="N440" s="8" t="s">
        <v>40</v>
      </c>
      <c r="O440" s="8" t="s">
        <v>41</v>
      </c>
      <c r="P440" s="6" t="s">
        <v>42</v>
      </c>
      <c r="Q440" s="8" t="s">
        <v>43</v>
      </c>
      <c r="R440" s="10" t="s">
        <v>2543</v>
      </c>
      <c r="S440" s="11"/>
      <c r="T440" s="6"/>
      <c r="U440" s="28" t="str">
        <f>HYPERLINK("https://media.infra-m.ru/1420/1420972/cover/1420972.jpg", "Обложка")</f>
        <v>Обложка</v>
      </c>
      <c r="V440" s="12"/>
      <c r="W440" s="8" t="s">
        <v>107</v>
      </c>
      <c r="X440" s="6"/>
      <c r="Y440" s="6"/>
      <c r="Z440" s="6"/>
      <c r="AA440" s="6" t="s">
        <v>79</v>
      </c>
    </row>
    <row r="441" spans="1:27" s="4" customFormat="1" ht="44.1" customHeight="1">
      <c r="A441" s="5">
        <v>0</v>
      </c>
      <c r="B441" s="6" t="s">
        <v>2544</v>
      </c>
      <c r="C441" s="13">
        <v>1950</v>
      </c>
      <c r="D441" s="8" t="s">
        <v>2545</v>
      </c>
      <c r="E441" s="8" t="s">
        <v>2546</v>
      </c>
      <c r="F441" s="8" t="s">
        <v>2547</v>
      </c>
      <c r="G441" s="6" t="s">
        <v>37</v>
      </c>
      <c r="H441" s="6" t="s">
        <v>38</v>
      </c>
      <c r="I441" s="8"/>
      <c r="J441" s="9">
        <v>1</v>
      </c>
      <c r="K441" s="9">
        <v>432</v>
      </c>
      <c r="L441" s="9">
        <v>2023</v>
      </c>
      <c r="M441" s="8" t="s">
        <v>2548</v>
      </c>
      <c r="N441" s="8" t="s">
        <v>40</v>
      </c>
      <c r="O441" s="8" t="s">
        <v>41</v>
      </c>
      <c r="P441" s="6" t="s">
        <v>95</v>
      </c>
      <c r="Q441" s="8" t="s">
        <v>76</v>
      </c>
      <c r="R441" s="10" t="s">
        <v>2044</v>
      </c>
      <c r="S441" s="11"/>
      <c r="T441" s="6"/>
      <c r="U441" s="28" t="str">
        <f>HYPERLINK("https://media.infra-m.ru/1936/1936317/cover/1936317.jpg", "Обложка")</f>
        <v>Обложка</v>
      </c>
      <c r="V441" s="28" t="str">
        <f>HYPERLINK("https://znanium.com/catalog/product/1936317", "Ознакомиться")</f>
        <v>Ознакомиться</v>
      </c>
      <c r="W441" s="8" t="s">
        <v>114</v>
      </c>
      <c r="X441" s="6"/>
      <c r="Y441" s="6"/>
      <c r="Z441" s="6"/>
      <c r="AA441" s="6" t="s">
        <v>343</v>
      </c>
    </row>
    <row r="442" spans="1:27" s="4" customFormat="1" ht="51.95" customHeight="1">
      <c r="A442" s="5">
        <v>0</v>
      </c>
      <c r="B442" s="6" t="s">
        <v>2549</v>
      </c>
      <c r="C442" s="13">
        <v>2494</v>
      </c>
      <c r="D442" s="8" t="s">
        <v>2550</v>
      </c>
      <c r="E442" s="8" t="s">
        <v>2551</v>
      </c>
      <c r="F442" s="8" t="s">
        <v>2552</v>
      </c>
      <c r="G442" s="6" t="s">
        <v>58</v>
      </c>
      <c r="H442" s="6" t="s">
        <v>400</v>
      </c>
      <c r="I442" s="8"/>
      <c r="J442" s="9">
        <v>1</v>
      </c>
      <c r="K442" s="9">
        <v>560</v>
      </c>
      <c r="L442" s="9">
        <v>2024</v>
      </c>
      <c r="M442" s="8"/>
      <c r="N442" s="8" t="s">
        <v>40</v>
      </c>
      <c r="O442" s="8" t="s">
        <v>41</v>
      </c>
      <c r="P442" s="6" t="s">
        <v>75</v>
      </c>
      <c r="Q442" s="8" t="s">
        <v>76</v>
      </c>
      <c r="R442" s="10" t="s">
        <v>77</v>
      </c>
      <c r="S442" s="11" t="s">
        <v>1764</v>
      </c>
      <c r="T442" s="6"/>
      <c r="U442" s="28" t="str">
        <f>HYPERLINK("https://media.infra-m.ru/2041/2041700/cover/2041700.jpg", "Обложка")</f>
        <v>Обложка</v>
      </c>
      <c r="V442" s="28" t="str">
        <f>HYPERLINK("https://znanium.com/catalog/product/1237089", "Ознакомиться")</f>
        <v>Ознакомиться</v>
      </c>
      <c r="W442" s="8" t="s">
        <v>414</v>
      </c>
      <c r="X442" s="6"/>
      <c r="Y442" s="6"/>
      <c r="Z442" s="6"/>
      <c r="AA442" s="6" t="s">
        <v>635</v>
      </c>
    </row>
    <row r="443" spans="1:27" s="4" customFormat="1" ht="51.95" customHeight="1">
      <c r="A443" s="5">
        <v>0</v>
      </c>
      <c r="B443" s="6" t="s">
        <v>2553</v>
      </c>
      <c r="C443" s="7">
        <v>554.9</v>
      </c>
      <c r="D443" s="8" t="s">
        <v>2554</v>
      </c>
      <c r="E443" s="8" t="s">
        <v>2555</v>
      </c>
      <c r="F443" s="8" t="s">
        <v>2556</v>
      </c>
      <c r="G443" s="6" t="s">
        <v>51</v>
      </c>
      <c r="H443" s="6" t="s">
        <v>52</v>
      </c>
      <c r="I443" s="8" t="s">
        <v>2557</v>
      </c>
      <c r="J443" s="9">
        <v>1</v>
      </c>
      <c r="K443" s="9">
        <v>191</v>
      </c>
      <c r="L443" s="9">
        <v>2022</v>
      </c>
      <c r="M443" s="8" t="s">
        <v>2558</v>
      </c>
      <c r="N443" s="8" t="s">
        <v>40</v>
      </c>
      <c r="O443" s="8" t="s">
        <v>41</v>
      </c>
      <c r="P443" s="6" t="s">
        <v>75</v>
      </c>
      <c r="Q443" s="8" t="s">
        <v>76</v>
      </c>
      <c r="R443" s="10" t="s">
        <v>2559</v>
      </c>
      <c r="S443" s="11"/>
      <c r="T443" s="6"/>
      <c r="U443" s="28" t="str">
        <f>HYPERLINK("https://media.infra-m.ru/1945/1945440/cover/1945440.jpg", "Обложка")</f>
        <v>Обложка</v>
      </c>
      <c r="V443" s="28" t="str">
        <f>HYPERLINK("https://znanium.com/catalog/product/1857570", "Ознакомиться")</f>
        <v>Ознакомиться</v>
      </c>
      <c r="W443" s="8"/>
      <c r="X443" s="6"/>
      <c r="Y443" s="6"/>
      <c r="Z443" s="6"/>
      <c r="AA443" s="6" t="s">
        <v>2560</v>
      </c>
    </row>
    <row r="444" spans="1:27" s="4" customFormat="1" ht="51.95" customHeight="1">
      <c r="A444" s="5">
        <v>0</v>
      </c>
      <c r="B444" s="6" t="s">
        <v>2561</v>
      </c>
      <c r="C444" s="13">
        <v>1050</v>
      </c>
      <c r="D444" s="8" t="s">
        <v>2562</v>
      </c>
      <c r="E444" s="8" t="s">
        <v>2563</v>
      </c>
      <c r="F444" s="8" t="s">
        <v>2564</v>
      </c>
      <c r="G444" s="6" t="s">
        <v>58</v>
      </c>
      <c r="H444" s="6" t="s">
        <v>38</v>
      </c>
      <c r="I444" s="8"/>
      <c r="J444" s="9">
        <v>1</v>
      </c>
      <c r="K444" s="9">
        <v>216</v>
      </c>
      <c r="L444" s="9">
        <v>2024</v>
      </c>
      <c r="M444" s="8" t="s">
        <v>2565</v>
      </c>
      <c r="N444" s="8" t="s">
        <v>40</v>
      </c>
      <c r="O444" s="8" t="s">
        <v>41</v>
      </c>
      <c r="P444" s="6" t="s">
        <v>2566</v>
      </c>
      <c r="Q444" s="8" t="s">
        <v>680</v>
      </c>
      <c r="R444" s="10" t="s">
        <v>2567</v>
      </c>
      <c r="S444" s="11"/>
      <c r="T444" s="6"/>
      <c r="U444" s="28" t="str">
        <f>HYPERLINK("https://media.infra-m.ru/2068/2068218/cover/2068218.jpg", "Обложка")</f>
        <v>Обложка</v>
      </c>
      <c r="V444" s="28" t="str">
        <f>HYPERLINK("https://znanium.com/catalog/product/2068218", "Ознакомиться")</f>
        <v>Ознакомиться</v>
      </c>
      <c r="W444" s="8" t="s">
        <v>114</v>
      </c>
      <c r="X444" s="6" t="s">
        <v>475</v>
      </c>
      <c r="Y444" s="6"/>
      <c r="Z444" s="6"/>
      <c r="AA444" s="6" t="s">
        <v>100</v>
      </c>
    </row>
    <row r="445" spans="1:27" s="4" customFormat="1" ht="21.95" customHeight="1">
      <c r="A445" s="5">
        <v>0</v>
      </c>
      <c r="B445" s="6" t="s">
        <v>2568</v>
      </c>
      <c r="C445" s="7">
        <v>834.9</v>
      </c>
      <c r="D445" s="8" t="s">
        <v>2569</v>
      </c>
      <c r="E445" s="8" t="s">
        <v>2555</v>
      </c>
      <c r="F445" s="8" t="s">
        <v>935</v>
      </c>
      <c r="G445" s="6" t="s">
        <v>51</v>
      </c>
      <c r="H445" s="6" t="s">
        <v>400</v>
      </c>
      <c r="I445" s="8" t="s">
        <v>2570</v>
      </c>
      <c r="J445" s="9">
        <v>1</v>
      </c>
      <c r="K445" s="9">
        <v>368</v>
      </c>
      <c r="L445" s="9">
        <v>2017</v>
      </c>
      <c r="M445" s="8" t="s">
        <v>2571</v>
      </c>
      <c r="N445" s="8" t="s">
        <v>40</v>
      </c>
      <c r="O445" s="8" t="s">
        <v>41</v>
      </c>
      <c r="P445" s="6" t="s">
        <v>2566</v>
      </c>
      <c r="Q445" s="8" t="s">
        <v>76</v>
      </c>
      <c r="R445" s="10"/>
      <c r="S445" s="11"/>
      <c r="T445" s="6"/>
      <c r="U445" s="12"/>
      <c r="V445" s="12"/>
      <c r="W445" s="8" t="s">
        <v>78</v>
      </c>
      <c r="X445" s="6"/>
      <c r="Y445" s="6"/>
      <c r="Z445" s="6"/>
      <c r="AA445" s="6" t="s">
        <v>2139</v>
      </c>
    </row>
    <row r="446" spans="1:27" s="4" customFormat="1" ht="51.95" customHeight="1">
      <c r="A446" s="5">
        <v>0</v>
      </c>
      <c r="B446" s="6" t="s">
        <v>2572</v>
      </c>
      <c r="C446" s="13">
        <v>2420</v>
      </c>
      <c r="D446" s="8" t="s">
        <v>2573</v>
      </c>
      <c r="E446" s="8" t="s">
        <v>2574</v>
      </c>
      <c r="F446" s="8" t="s">
        <v>935</v>
      </c>
      <c r="G446" s="6" t="s">
        <v>58</v>
      </c>
      <c r="H446" s="6" t="s">
        <v>38</v>
      </c>
      <c r="I446" s="8"/>
      <c r="J446" s="9">
        <v>1</v>
      </c>
      <c r="K446" s="9">
        <v>528</v>
      </c>
      <c r="L446" s="9">
        <v>2024</v>
      </c>
      <c r="M446" s="8" t="s">
        <v>2575</v>
      </c>
      <c r="N446" s="8" t="s">
        <v>40</v>
      </c>
      <c r="O446" s="8" t="s">
        <v>41</v>
      </c>
      <c r="P446" s="6" t="s">
        <v>95</v>
      </c>
      <c r="Q446" s="8" t="s">
        <v>76</v>
      </c>
      <c r="R446" s="10" t="s">
        <v>122</v>
      </c>
      <c r="S446" s="11" t="s">
        <v>2576</v>
      </c>
      <c r="T446" s="6"/>
      <c r="U446" s="28" t="str">
        <f>HYPERLINK("https://media.infra-m.ru/2069/2069326/cover/2069326.jpg", "Обложка")</f>
        <v>Обложка</v>
      </c>
      <c r="V446" s="28" t="str">
        <f>HYPERLINK("https://znanium.com/catalog/product/2069326", "Ознакомиться")</f>
        <v>Ознакомиться</v>
      </c>
      <c r="W446" s="8" t="s">
        <v>78</v>
      </c>
      <c r="X446" s="6"/>
      <c r="Y446" s="6"/>
      <c r="Z446" s="6"/>
      <c r="AA446" s="6" t="s">
        <v>2414</v>
      </c>
    </row>
    <row r="447" spans="1:27" s="4" customFormat="1" ht="51.95" customHeight="1">
      <c r="A447" s="5">
        <v>0</v>
      </c>
      <c r="B447" s="6" t="s">
        <v>2577</v>
      </c>
      <c r="C447" s="13">
        <v>1994.9</v>
      </c>
      <c r="D447" s="8" t="s">
        <v>2578</v>
      </c>
      <c r="E447" s="8" t="s">
        <v>2579</v>
      </c>
      <c r="F447" s="8" t="s">
        <v>2580</v>
      </c>
      <c r="G447" s="6" t="s">
        <v>58</v>
      </c>
      <c r="H447" s="6" t="s">
        <v>38</v>
      </c>
      <c r="I447" s="8"/>
      <c r="J447" s="9">
        <v>1</v>
      </c>
      <c r="K447" s="9">
        <v>976</v>
      </c>
      <c r="L447" s="9">
        <v>2020</v>
      </c>
      <c r="M447" s="8" t="s">
        <v>2581</v>
      </c>
      <c r="N447" s="8" t="s">
        <v>40</v>
      </c>
      <c r="O447" s="8" t="s">
        <v>41</v>
      </c>
      <c r="P447" s="6" t="s">
        <v>95</v>
      </c>
      <c r="Q447" s="8" t="s">
        <v>76</v>
      </c>
      <c r="R447" s="10" t="s">
        <v>122</v>
      </c>
      <c r="S447" s="11"/>
      <c r="T447" s="6"/>
      <c r="U447" s="28" t="str">
        <f>HYPERLINK("https://media.infra-m.ru/1089/1089869/cover/1089869.jpg", "Обложка")</f>
        <v>Обложка</v>
      </c>
      <c r="V447" s="28" t="str">
        <f>HYPERLINK("https://znanium.com/catalog/product/2102693", "Ознакомиться")</f>
        <v>Ознакомиться</v>
      </c>
      <c r="W447" s="8" t="s">
        <v>1482</v>
      </c>
      <c r="X447" s="6"/>
      <c r="Y447" s="6"/>
      <c r="Z447" s="6"/>
      <c r="AA447" s="6" t="s">
        <v>2582</v>
      </c>
    </row>
    <row r="448" spans="1:27" s="4" customFormat="1" ht="51.95" customHeight="1">
      <c r="A448" s="5">
        <v>0</v>
      </c>
      <c r="B448" s="6" t="s">
        <v>2583</v>
      </c>
      <c r="C448" s="13">
        <v>1724</v>
      </c>
      <c r="D448" s="8" t="s">
        <v>2584</v>
      </c>
      <c r="E448" s="8" t="s">
        <v>2563</v>
      </c>
      <c r="F448" s="8" t="s">
        <v>2585</v>
      </c>
      <c r="G448" s="6" t="s">
        <v>58</v>
      </c>
      <c r="H448" s="6" t="s">
        <v>52</v>
      </c>
      <c r="I448" s="8" t="s">
        <v>185</v>
      </c>
      <c r="J448" s="9">
        <v>1</v>
      </c>
      <c r="K448" s="9">
        <v>374</v>
      </c>
      <c r="L448" s="9">
        <v>2024</v>
      </c>
      <c r="M448" s="8" t="s">
        <v>2586</v>
      </c>
      <c r="N448" s="8" t="s">
        <v>40</v>
      </c>
      <c r="O448" s="8" t="s">
        <v>41</v>
      </c>
      <c r="P448" s="6" t="s">
        <v>75</v>
      </c>
      <c r="Q448" s="8" t="s">
        <v>76</v>
      </c>
      <c r="R448" s="10" t="s">
        <v>2044</v>
      </c>
      <c r="S448" s="11" t="s">
        <v>2587</v>
      </c>
      <c r="T448" s="6"/>
      <c r="U448" s="28" t="str">
        <f>HYPERLINK("https://media.infra-m.ru/2112/2112514/cover/2112514.jpg", "Обложка")</f>
        <v>Обложка</v>
      </c>
      <c r="V448" s="28" t="str">
        <f>HYPERLINK("https://znanium.com/catalog/product/959983", "Ознакомиться")</f>
        <v>Ознакомиться</v>
      </c>
      <c r="W448" s="8"/>
      <c r="X448" s="6"/>
      <c r="Y448" s="6"/>
      <c r="Z448" s="6"/>
      <c r="AA448" s="6" t="s">
        <v>289</v>
      </c>
    </row>
    <row r="449" spans="1:27" s="4" customFormat="1" ht="51.95" customHeight="1">
      <c r="A449" s="5">
        <v>0</v>
      </c>
      <c r="B449" s="6" t="s">
        <v>2588</v>
      </c>
      <c r="C449" s="13">
        <v>3110</v>
      </c>
      <c r="D449" s="8" t="s">
        <v>2589</v>
      </c>
      <c r="E449" s="8" t="s">
        <v>2590</v>
      </c>
      <c r="F449" s="8" t="s">
        <v>2580</v>
      </c>
      <c r="G449" s="6" t="s">
        <v>58</v>
      </c>
      <c r="H449" s="6" t="s">
        <v>38</v>
      </c>
      <c r="I449" s="8"/>
      <c r="J449" s="9">
        <v>1</v>
      </c>
      <c r="K449" s="9">
        <v>864</v>
      </c>
      <c r="L449" s="9">
        <v>2024</v>
      </c>
      <c r="M449" s="8" t="s">
        <v>2591</v>
      </c>
      <c r="N449" s="8" t="s">
        <v>40</v>
      </c>
      <c r="O449" s="8" t="s">
        <v>41</v>
      </c>
      <c r="P449" s="6" t="s">
        <v>95</v>
      </c>
      <c r="Q449" s="8" t="s">
        <v>76</v>
      </c>
      <c r="R449" s="10" t="s">
        <v>122</v>
      </c>
      <c r="S449" s="11"/>
      <c r="T449" s="6"/>
      <c r="U449" s="28" t="str">
        <f>HYPERLINK("https://media.infra-m.ru/2102/2102693/cover/2102693.jpg", "Обложка")</f>
        <v>Обложка</v>
      </c>
      <c r="V449" s="28" t="str">
        <f>HYPERLINK("https://znanium.com/catalog/product/2102693", "Ознакомиться")</f>
        <v>Ознакомиться</v>
      </c>
      <c r="W449" s="8" t="s">
        <v>1482</v>
      </c>
      <c r="X449" s="6"/>
      <c r="Y449" s="6"/>
      <c r="Z449" s="6"/>
      <c r="AA449" s="6" t="s">
        <v>2592</v>
      </c>
    </row>
    <row r="450" spans="1:27" s="4" customFormat="1" ht="51.95" customHeight="1">
      <c r="A450" s="5">
        <v>0</v>
      </c>
      <c r="B450" s="6" t="s">
        <v>2593</v>
      </c>
      <c r="C450" s="7">
        <v>434.9</v>
      </c>
      <c r="D450" s="8" t="s">
        <v>2594</v>
      </c>
      <c r="E450" s="8" t="s">
        <v>2563</v>
      </c>
      <c r="F450" s="8" t="s">
        <v>2595</v>
      </c>
      <c r="G450" s="6" t="s">
        <v>58</v>
      </c>
      <c r="H450" s="6" t="s">
        <v>52</v>
      </c>
      <c r="I450" s="8" t="s">
        <v>185</v>
      </c>
      <c r="J450" s="9">
        <v>1</v>
      </c>
      <c r="K450" s="9">
        <v>135</v>
      </c>
      <c r="L450" s="9">
        <v>2019</v>
      </c>
      <c r="M450" s="8" t="s">
        <v>2596</v>
      </c>
      <c r="N450" s="8" t="s">
        <v>40</v>
      </c>
      <c r="O450" s="8" t="s">
        <v>41</v>
      </c>
      <c r="P450" s="6" t="s">
        <v>75</v>
      </c>
      <c r="Q450" s="8" t="s">
        <v>76</v>
      </c>
      <c r="R450" s="10" t="s">
        <v>122</v>
      </c>
      <c r="S450" s="11"/>
      <c r="T450" s="6" t="s">
        <v>368</v>
      </c>
      <c r="U450" s="28" t="str">
        <f>HYPERLINK("https://media.infra-m.ru/1015/1015158/cover/1015158.jpg", "Обложка")</f>
        <v>Обложка</v>
      </c>
      <c r="V450" s="28" t="str">
        <f>HYPERLINK("https://znanium.com/catalog/product/1015158", "Ознакомиться")</f>
        <v>Ознакомиться</v>
      </c>
      <c r="W450" s="8" t="s">
        <v>2597</v>
      </c>
      <c r="X450" s="6"/>
      <c r="Y450" s="6"/>
      <c r="Z450" s="6"/>
      <c r="AA450" s="6" t="s">
        <v>298</v>
      </c>
    </row>
    <row r="451" spans="1:27" s="4" customFormat="1" ht="51.95" customHeight="1">
      <c r="A451" s="5">
        <v>0</v>
      </c>
      <c r="B451" s="6" t="s">
        <v>2598</v>
      </c>
      <c r="C451" s="13">
        <v>2800</v>
      </c>
      <c r="D451" s="8" t="s">
        <v>2599</v>
      </c>
      <c r="E451" s="8" t="s">
        <v>2600</v>
      </c>
      <c r="F451" s="8" t="s">
        <v>2601</v>
      </c>
      <c r="G451" s="6" t="s">
        <v>37</v>
      </c>
      <c r="H451" s="6" t="s">
        <v>38</v>
      </c>
      <c r="I451" s="8"/>
      <c r="J451" s="9">
        <v>1</v>
      </c>
      <c r="K451" s="9">
        <v>936</v>
      </c>
      <c r="L451" s="9">
        <v>2023</v>
      </c>
      <c r="M451" s="8" t="s">
        <v>2602</v>
      </c>
      <c r="N451" s="8" t="s">
        <v>40</v>
      </c>
      <c r="O451" s="8" t="s">
        <v>41</v>
      </c>
      <c r="P451" s="6" t="s">
        <v>75</v>
      </c>
      <c r="Q451" s="8" t="s">
        <v>76</v>
      </c>
      <c r="R451" s="10" t="s">
        <v>2603</v>
      </c>
      <c r="S451" s="11" t="s">
        <v>2604</v>
      </c>
      <c r="T451" s="6"/>
      <c r="U451" s="28" t="str">
        <f>HYPERLINK("https://media.infra-m.ru/1895/1895083/cover/1895083.jpg", "Обложка")</f>
        <v>Обложка</v>
      </c>
      <c r="V451" s="28" t="str">
        <f>HYPERLINK("https://znanium.com/catalog/product/1895083", "Ознакомиться")</f>
        <v>Ознакомиться</v>
      </c>
      <c r="W451" s="8" t="s">
        <v>414</v>
      </c>
      <c r="X451" s="6"/>
      <c r="Y451" s="6"/>
      <c r="Z451" s="6"/>
      <c r="AA451" s="6" t="s">
        <v>2605</v>
      </c>
    </row>
    <row r="452" spans="1:27" s="4" customFormat="1" ht="51.95" customHeight="1">
      <c r="A452" s="5">
        <v>0</v>
      </c>
      <c r="B452" s="6" t="s">
        <v>2606</v>
      </c>
      <c r="C452" s="13">
        <v>2399.9</v>
      </c>
      <c r="D452" s="8" t="s">
        <v>2607</v>
      </c>
      <c r="E452" s="8" t="s">
        <v>2608</v>
      </c>
      <c r="F452" s="8" t="s">
        <v>2601</v>
      </c>
      <c r="G452" s="6" t="s">
        <v>37</v>
      </c>
      <c r="H452" s="6" t="s">
        <v>38</v>
      </c>
      <c r="I452" s="8"/>
      <c r="J452" s="9">
        <v>1</v>
      </c>
      <c r="K452" s="9">
        <v>928</v>
      </c>
      <c r="L452" s="9">
        <v>2020</v>
      </c>
      <c r="M452" s="8" t="s">
        <v>2609</v>
      </c>
      <c r="N452" s="8" t="s">
        <v>40</v>
      </c>
      <c r="O452" s="8" t="s">
        <v>41</v>
      </c>
      <c r="P452" s="6" t="s">
        <v>75</v>
      </c>
      <c r="Q452" s="8" t="s">
        <v>76</v>
      </c>
      <c r="R452" s="10" t="s">
        <v>2603</v>
      </c>
      <c r="S452" s="11" t="s">
        <v>2604</v>
      </c>
      <c r="T452" s="6"/>
      <c r="U452" s="28" t="str">
        <f>HYPERLINK("https://media.infra-m.ru/1043/1043982/cover/1043982.jpg", "Обложка")</f>
        <v>Обложка</v>
      </c>
      <c r="V452" s="28" t="str">
        <f>HYPERLINK("https://znanium.com/catalog/product/1895083", "Ознакомиться")</f>
        <v>Ознакомиться</v>
      </c>
      <c r="W452" s="8" t="s">
        <v>414</v>
      </c>
      <c r="X452" s="6"/>
      <c r="Y452" s="6"/>
      <c r="Z452" s="6"/>
      <c r="AA452" s="6" t="s">
        <v>1127</v>
      </c>
    </row>
    <row r="453" spans="1:27" s="4" customFormat="1" ht="51.95" customHeight="1">
      <c r="A453" s="5">
        <v>0</v>
      </c>
      <c r="B453" s="6" t="s">
        <v>2610</v>
      </c>
      <c r="C453" s="13">
        <v>2900</v>
      </c>
      <c r="D453" s="8" t="s">
        <v>2611</v>
      </c>
      <c r="E453" s="8" t="s">
        <v>2612</v>
      </c>
      <c r="F453" s="8" t="s">
        <v>2601</v>
      </c>
      <c r="G453" s="6" t="s">
        <v>58</v>
      </c>
      <c r="H453" s="6" t="s">
        <v>38</v>
      </c>
      <c r="I453" s="8"/>
      <c r="J453" s="9">
        <v>1</v>
      </c>
      <c r="K453" s="9">
        <v>864</v>
      </c>
      <c r="L453" s="9">
        <v>2024</v>
      </c>
      <c r="M453" s="8" t="s">
        <v>2613</v>
      </c>
      <c r="N453" s="8" t="s">
        <v>40</v>
      </c>
      <c r="O453" s="8" t="s">
        <v>41</v>
      </c>
      <c r="P453" s="6" t="s">
        <v>75</v>
      </c>
      <c r="Q453" s="8" t="s">
        <v>76</v>
      </c>
      <c r="R453" s="10" t="s">
        <v>2614</v>
      </c>
      <c r="S453" s="11" t="s">
        <v>2615</v>
      </c>
      <c r="T453" s="6"/>
      <c r="U453" s="28" t="str">
        <f>HYPERLINK("https://media.infra-m.ru/2115/2115226/cover/2115226.jpg", "Обложка")</f>
        <v>Обложка</v>
      </c>
      <c r="V453" s="28" t="str">
        <f>HYPERLINK("https://znanium.com/catalog/product/2115226", "Ознакомиться")</f>
        <v>Ознакомиться</v>
      </c>
      <c r="W453" s="8" t="s">
        <v>414</v>
      </c>
      <c r="X453" s="6"/>
      <c r="Y453" s="6"/>
      <c r="Z453" s="6"/>
      <c r="AA453" s="6" t="s">
        <v>2605</v>
      </c>
    </row>
    <row r="454" spans="1:27" s="4" customFormat="1" ht="51.95" customHeight="1">
      <c r="A454" s="5">
        <v>0</v>
      </c>
      <c r="B454" s="6" t="s">
        <v>2616</v>
      </c>
      <c r="C454" s="13">
        <v>1300</v>
      </c>
      <c r="D454" s="8" t="s">
        <v>2617</v>
      </c>
      <c r="E454" s="8" t="s">
        <v>2618</v>
      </c>
      <c r="F454" s="8" t="s">
        <v>2619</v>
      </c>
      <c r="G454" s="6" t="s">
        <v>58</v>
      </c>
      <c r="H454" s="6" t="s">
        <v>38</v>
      </c>
      <c r="I454" s="8"/>
      <c r="J454" s="9">
        <v>4</v>
      </c>
      <c r="K454" s="9">
        <v>864</v>
      </c>
      <c r="L454" s="9">
        <v>2017</v>
      </c>
      <c r="M454" s="8" t="s">
        <v>2620</v>
      </c>
      <c r="N454" s="8" t="s">
        <v>40</v>
      </c>
      <c r="O454" s="8" t="s">
        <v>41</v>
      </c>
      <c r="P454" s="6" t="s">
        <v>75</v>
      </c>
      <c r="Q454" s="8" t="s">
        <v>76</v>
      </c>
      <c r="R454" s="10" t="s">
        <v>2614</v>
      </c>
      <c r="S454" s="11" t="s">
        <v>2621</v>
      </c>
      <c r="T454" s="6"/>
      <c r="U454" s="28" t="str">
        <f>HYPERLINK("https://media.infra-m.ru/0769/0769086/cover/769086.jpg", "Обложка")</f>
        <v>Обложка</v>
      </c>
      <c r="V454" s="28" t="str">
        <f>HYPERLINK("https://znanium.com/catalog/product/2115226", "Ознакомиться")</f>
        <v>Ознакомиться</v>
      </c>
      <c r="W454" s="8" t="s">
        <v>414</v>
      </c>
      <c r="X454" s="6"/>
      <c r="Y454" s="6"/>
      <c r="Z454" s="6"/>
      <c r="AA454" s="6" t="s">
        <v>2622</v>
      </c>
    </row>
    <row r="455" spans="1:27" s="4" customFormat="1" ht="51.95" customHeight="1">
      <c r="A455" s="5">
        <v>0</v>
      </c>
      <c r="B455" s="6" t="s">
        <v>2623</v>
      </c>
      <c r="C455" s="13">
        <v>1290</v>
      </c>
      <c r="D455" s="8" t="s">
        <v>2624</v>
      </c>
      <c r="E455" s="8" t="s">
        <v>2625</v>
      </c>
      <c r="F455" s="8" t="s">
        <v>2601</v>
      </c>
      <c r="G455" s="6" t="s">
        <v>58</v>
      </c>
      <c r="H455" s="6" t="s">
        <v>38</v>
      </c>
      <c r="I455" s="8"/>
      <c r="J455" s="9">
        <v>4</v>
      </c>
      <c r="K455" s="9">
        <v>912</v>
      </c>
      <c r="L455" s="9">
        <v>2017</v>
      </c>
      <c r="M455" s="8" t="s">
        <v>2626</v>
      </c>
      <c r="N455" s="8" t="s">
        <v>40</v>
      </c>
      <c r="O455" s="8" t="s">
        <v>41</v>
      </c>
      <c r="P455" s="6" t="s">
        <v>75</v>
      </c>
      <c r="Q455" s="8" t="s">
        <v>76</v>
      </c>
      <c r="R455" s="10" t="s">
        <v>2603</v>
      </c>
      <c r="S455" s="11" t="s">
        <v>2604</v>
      </c>
      <c r="T455" s="6"/>
      <c r="U455" s="28" t="str">
        <f>HYPERLINK("https://media.infra-m.ru/0944/0944322/cover/944322.jpg", "Обложка")</f>
        <v>Обложка</v>
      </c>
      <c r="V455" s="28" t="str">
        <f>HYPERLINK("https://znanium.com/catalog/product/1895083", "Ознакомиться")</f>
        <v>Ознакомиться</v>
      </c>
      <c r="W455" s="8" t="s">
        <v>414</v>
      </c>
      <c r="X455" s="6"/>
      <c r="Y455" s="6"/>
      <c r="Z455" s="6"/>
      <c r="AA455" s="6" t="s">
        <v>2622</v>
      </c>
    </row>
    <row r="456" spans="1:27" s="4" customFormat="1" ht="51.95" customHeight="1">
      <c r="A456" s="5">
        <v>0</v>
      </c>
      <c r="B456" s="6" t="s">
        <v>2627</v>
      </c>
      <c r="C456" s="13">
        <v>2250</v>
      </c>
      <c r="D456" s="8" t="s">
        <v>2628</v>
      </c>
      <c r="E456" s="8" t="s">
        <v>2629</v>
      </c>
      <c r="F456" s="8" t="s">
        <v>2619</v>
      </c>
      <c r="G456" s="6" t="s">
        <v>37</v>
      </c>
      <c r="H456" s="6" t="s">
        <v>38</v>
      </c>
      <c r="I456" s="8"/>
      <c r="J456" s="9">
        <v>1</v>
      </c>
      <c r="K456" s="9">
        <v>864</v>
      </c>
      <c r="L456" s="9">
        <v>2020</v>
      </c>
      <c r="M456" s="8" t="s">
        <v>2630</v>
      </c>
      <c r="N456" s="8" t="s">
        <v>40</v>
      </c>
      <c r="O456" s="8" t="s">
        <v>41</v>
      </c>
      <c r="P456" s="6" t="s">
        <v>75</v>
      </c>
      <c r="Q456" s="8" t="s">
        <v>76</v>
      </c>
      <c r="R456" s="10" t="s">
        <v>2614</v>
      </c>
      <c r="S456" s="11" t="s">
        <v>2621</v>
      </c>
      <c r="T456" s="6"/>
      <c r="U456" s="28" t="str">
        <f>HYPERLINK("https://media.infra-m.ru/1079/1079425/cover/1079425.jpg", "Обложка")</f>
        <v>Обложка</v>
      </c>
      <c r="V456" s="28" t="str">
        <f>HYPERLINK("https://znanium.com/catalog/product/2115226", "Ознакомиться")</f>
        <v>Ознакомиться</v>
      </c>
      <c r="W456" s="8" t="s">
        <v>414</v>
      </c>
      <c r="X456" s="6"/>
      <c r="Y456" s="6"/>
      <c r="Z456" s="6"/>
      <c r="AA456" s="6" t="s">
        <v>1127</v>
      </c>
    </row>
    <row r="457" spans="1:27" s="4" customFormat="1" ht="51.95" customHeight="1">
      <c r="A457" s="5">
        <v>0</v>
      </c>
      <c r="B457" s="6" t="s">
        <v>2631</v>
      </c>
      <c r="C457" s="13">
        <v>1439.9</v>
      </c>
      <c r="D457" s="8" t="s">
        <v>2632</v>
      </c>
      <c r="E457" s="8" t="s">
        <v>2633</v>
      </c>
      <c r="F457" s="8" t="s">
        <v>2634</v>
      </c>
      <c r="G457" s="6" t="s">
        <v>37</v>
      </c>
      <c r="H457" s="6" t="s">
        <v>38</v>
      </c>
      <c r="I457" s="8"/>
      <c r="J457" s="9">
        <v>10</v>
      </c>
      <c r="K457" s="9">
        <v>424</v>
      </c>
      <c r="L457" s="9">
        <v>2021</v>
      </c>
      <c r="M457" s="8" t="s">
        <v>2635</v>
      </c>
      <c r="N457" s="8" t="s">
        <v>40</v>
      </c>
      <c r="O457" s="8" t="s">
        <v>41</v>
      </c>
      <c r="P457" s="6" t="s">
        <v>95</v>
      </c>
      <c r="Q457" s="8" t="s">
        <v>76</v>
      </c>
      <c r="R457" s="10" t="s">
        <v>2636</v>
      </c>
      <c r="S457" s="11" t="s">
        <v>2637</v>
      </c>
      <c r="T457" s="6"/>
      <c r="U457" s="28" t="str">
        <f>HYPERLINK("https://media.infra-m.ru/1080/1080890/cover/1080890.jpg", "Обложка")</f>
        <v>Обложка</v>
      </c>
      <c r="V457" s="28" t="str">
        <f>HYPERLINK("https://znanium.com/catalog/product/1080890", "Ознакомиться")</f>
        <v>Ознакомиться</v>
      </c>
      <c r="W457" s="8" t="s">
        <v>2638</v>
      </c>
      <c r="X457" s="6"/>
      <c r="Y457" s="6"/>
      <c r="Z457" s="6"/>
      <c r="AA457" s="6" t="s">
        <v>320</v>
      </c>
    </row>
    <row r="458" spans="1:27" s="4" customFormat="1" ht="51.95" customHeight="1">
      <c r="A458" s="5">
        <v>0</v>
      </c>
      <c r="B458" s="6" t="s">
        <v>2639</v>
      </c>
      <c r="C458" s="13">
        <v>2040</v>
      </c>
      <c r="D458" s="8" t="s">
        <v>2640</v>
      </c>
      <c r="E458" s="8" t="s">
        <v>2633</v>
      </c>
      <c r="F458" s="8" t="s">
        <v>2641</v>
      </c>
      <c r="G458" s="6" t="s">
        <v>58</v>
      </c>
      <c r="H458" s="6" t="s">
        <v>52</v>
      </c>
      <c r="I458" s="8" t="s">
        <v>120</v>
      </c>
      <c r="J458" s="9">
        <v>1</v>
      </c>
      <c r="K458" s="9">
        <v>443</v>
      </c>
      <c r="L458" s="9">
        <v>2023</v>
      </c>
      <c r="M458" s="8" t="s">
        <v>2642</v>
      </c>
      <c r="N458" s="8" t="s">
        <v>40</v>
      </c>
      <c r="O458" s="8" t="s">
        <v>41</v>
      </c>
      <c r="P458" s="6" t="s">
        <v>95</v>
      </c>
      <c r="Q458" s="8" t="s">
        <v>76</v>
      </c>
      <c r="R458" s="10" t="s">
        <v>2643</v>
      </c>
      <c r="S458" s="11"/>
      <c r="T458" s="6" t="s">
        <v>368</v>
      </c>
      <c r="U458" s="28" t="str">
        <f>HYPERLINK("https://media.infra-m.ru/2109/2109554/cover/2109554.jpg", "Обложка")</f>
        <v>Обложка</v>
      </c>
      <c r="V458" s="28" t="str">
        <f>HYPERLINK("https://znanium.com/catalog/product/1893958", "Ознакомиться")</f>
        <v>Ознакомиться</v>
      </c>
      <c r="W458" s="8" t="s">
        <v>2644</v>
      </c>
      <c r="X458" s="6"/>
      <c r="Y458" s="6"/>
      <c r="Z458" s="6"/>
      <c r="AA458" s="6" t="s">
        <v>137</v>
      </c>
    </row>
    <row r="459" spans="1:27" s="4" customFormat="1" ht="51.95" customHeight="1">
      <c r="A459" s="5">
        <v>0</v>
      </c>
      <c r="B459" s="6" t="s">
        <v>2645</v>
      </c>
      <c r="C459" s="13">
        <v>2100</v>
      </c>
      <c r="D459" s="8" t="s">
        <v>2646</v>
      </c>
      <c r="E459" s="8" t="s">
        <v>2633</v>
      </c>
      <c r="F459" s="8" t="s">
        <v>2647</v>
      </c>
      <c r="G459" s="6" t="s">
        <v>37</v>
      </c>
      <c r="H459" s="6" t="s">
        <v>38</v>
      </c>
      <c r="I459" s="8"/>
      <c r="J459" s="9">
        <v>1</v>
      </c>
      <c r="K459" s="9">
        <v>496</v>
      </c>
      <c r="L459" s="9">
        <v>2023</v>
      </c>
      <c r="M459" s="8" t="s">
        <v>2648</v>
      </c>
      <c r="N459" s="8" t="s">
        <v>40</v>
      </c>
      <c r="O459" s="8" t="s">
        <v>41</v>
      </c>
      <c r="P459" s="6" t="s">
        <v>95</v>
      </c>
      <c r="Q459" s="8" t="s">
        <v>76</v>
      </c>
      <c r="R459" s="10" t="s">
        <v>2649</v>
      </c>
      <c r="S459" s="11" t="s">
        <v>2650</v>
      </c>
      <c r="T459" s="6"/>
      <c r="U459" s="28" t="str">
        <f>HYPERLINK("https://media.infra-m.ru/1896/1896824/cover/1896824.jpg", "Обложка")</f>
        <v>Обложка</v>
      </c>
      <c r="V459" s="28" t="str">
        <f>HYPERLINK("https://znanium.com/catalog/product/1896824", "Ознакомиться")</f>
        <v>Ознакомиться</v>
      </c>
      <c r="W459" s="8" t="s">
        <v>124</v>
      </c>
      <c r="X459" s="6"/>
      <c r="Y459" s="6"/>
      <c r="Z459" s="6"/>
      <c r="AA459" s="6" t="s">
        <v>143</v>
      </c>
    </row>
    <row r="460" spans="1:27" s="4" customFormat="1" ht="42" customHeight="1">
      <c r="A460" s="5">
        <v>0</v>
      </c>
      <c r="B460" s="6" t="s">
        <v>2651</v>
      </c>
      <c r="C460" s="13">
        <v>1850</v>
      </c>
      <c r="D460" s="8" t="s">
        <v>2652</v>
      </c>
      <c r="E460" s="8" t="s">
        <v>2653</v>
      </c>
      <c r="F460" s="8" t="s">
        <v>2654</v>
      </c>
      <c r="G460" s="6" t="s">
        <v>37</v>
      </c>
      <c r="H460" s="6" t="s">
        <v>52</v>
      </c>
      <c r="I460" s="8" t="s">
        <v>120</v>
      </c>
      <c r="J460" s="9">
        <v>1</v>
      </c>
      <c r="K460" s="9">
        <v>487</v>
      </c>
      <c r="L460" s="9">
        <v>2022</v>
      </c>
      <c r="M460" s="8" t="s">
        <v>2655</v>
      </c>
      <c r="N460" s="8" t="s">
        <v>40</v>
      </c>
      <c r="O460" s="8" t="s">
        <v>41</v>
      </c>
      <c r="P460" s="6" t="s">
        <v>95</v>
      </c>
      <c r="Q460" s="8" t="s">
        <v>76</v>
      </c>
      <c r="R460" s="10" t="s">
        <v>113</v>
      </c>
      <c r="S460" s="11"/>
      <c r="T460" s="6" t="s">
        <v>368</v>
      </c>
      <c r="U460" s="28" t="str">
        <f>HYPERLINK("https://media.infra-m.ru/1862/1862171/cover/1862171.jpg", "Обложка")</f>
        <v>Обложка</v>
      </c>
      <c r="V460" s="28" t="str">
        <f>HYPERLINK("https://znanium.com/catalog/product/1902449", "Ознакомиться")</f>
        <v>Ознакомиться</v>
      </c>
      <c r="W460" s="8" t="s">
        <v>114</v>
      </c>
      <c r="X460" s="6"/>
      <c r="Y460" s="6"/>
      <c r="Z460" s="6"/>
      <c r="AA460" s="6" t="s">
        <v>62</v>
      </c>
    </row>
    <row r="461" spans="1:27" s="4" customFormat="1" ht="42" customHeight="1">
      <c r="A461" s="5">
        <v>0</v>
      </c>
      <c r="B461" s="6" t="s">
        <v>2656</v>
      </c>
      <c r="C461" s="13">
        <v>2260</v>
      </c>
      <c r="D461" s="8" t="s">
        <v>2657</v>
      </c>
      <c r="E461" s="8" t="s">
        <v>2633</v>
      </c>
      <c r="F461" s="8" t="s">
        <v>2654</v>
      </c>
      <c r="G461" s="6" t="s">
        <v>58</v>
      </c>
      <c r="H461" s="6" t="s">
        <v>52</v>
      </c>
      <c r="I461" s="8" t="s">
        <v>120</v>
      </c>
      <c r="J461" s="9">
        <v>1</v>
      </c>
      <c r="K461" s="9">
        <v>491</v>
      </c>
      <c r="L461" s="9">
        <v>2023</v>
      </c>
      <c r="M461" s="8" t="s">
        <v>2658</v>
      </c>
      <c r="N461" s="8" t="s">
        <v>40</v>
      </c>
      <c r="O461" s="8" t="s">
        <v>41</v>
      </c>
      <c r="P461" s="6" t="s">
        <v>95</v>
      </c>
      <c r="Q461" s="8" t="s">
        <v>76</v>
      </c>
      <c r="R461" s="10" t="s">
        <v>113</v>
      </c>
      <c r="S461" s="11"/>
      <c r="T461" s="6"/>
      <c r="U461" s="28" t="str">
        <f>HYPERLINK("https://media.infra-m.ru/1939/1939045/cover/1939045.jpg", "Обложка")</f>
        <v>Обложка</v>
      </c>
      <c r="V461" s="28" t="str">
        <f>HYPERLINK("https://znanium.com/catalog/product/1902449", "Ознакомиться")</f>
        <v>Ознакомиться</v>
      </c>
      <c r="W461" s="8" t="s">
        <v>114</v>
      </c>
      <c r="X461" s="6"/>
      <c r="Y461" s="6"/>
      <c r="Z461" s="6"/>
      <c r="AA461" s="6" t="s">
        <v>137</v>
      </c>
    </row>
    <row r="462" spans="1:27" s="4" customFormat="1" ht="42" customHeight="1">
      <c r="A462" s="5">
        <v>0</v>
      </c>
      <c r="B462" s="6" t="s">
        <v>2659</v>
      </c>
      <c r="C462" s="13">
        <v>1890</v>
      </c>
      <c r="D462" s="8" t="s">
        <v>2660</v>
      </c>
      <c r="E462" s="8" t="s">
        <v>2653</v>
      </c>
      <c r="F462" s="8" t="s">
        <v>2661</v>
      </c>
      <c r="G462" s="6" t="s">
        <v>37</v>
      </c>
      <c r="H462" s="6" t="s">
        <v>38</v>
      </c>
      <c r="I462" s="8"/>
      <c r="J462" s="9">
        <v>1</v>
      </c>
      <c r="K462" s="9">
        <v>496</v>
      </c>
      <c r="L462" s="9">
        <v>2022</v>
      </c>
      <c r="M462" s="8" t="s">
        <v>2662</v>
      </c>
      <c r="N462" s="8" t="s">
        <v>40</v>
      </c>
      <c r="O462" s="8" t="s">
        <v>41</v>
      </c>
      <c r="P462" s="6" t="s">
        <v>95</v>
      </c>
      <c r="Q462" s="8" t="s">
        <v>2663</v>
      </c>
      <c r="R462" s="10" t="s">
        <v>181</v>
      </c>
      <c r="S462" s="11"/>
      <c r="T462" s="6"/>
      <c r="U462" s="28" t="str">
        <f>HYPERLINK("https://media.infra-m.ru/1871/1871794/cover/1871794.jpg", "Обложка")</f>
        <v>Обложка</v>
      </c>
      <c r="V462" s="28" t="str">
        <f>HYPERLINK("https://znanium.com/catalog/product/1861456", "Ознакомиться")</f>
        <v>Ознакомиться</v>
      </c>
      <c r="W462" s="8" t="s">
        <v>124</v>
      </c>
      <c r="X462" s="6"/>
      <c r="Y462" s="6"/>
      <c r="Z462" s="6"/>
      <c r="AA462" s="6" t="s">
        <v>343</v>
      </c>
    </row>
    <row r="463" spans="1:27" s="4" customFormat="1" ht="51.95" customHeight="1">
      <c r="A463" s="5">
        <v>0</v>
      </c>
      <c r="B463" s="6" t="s">
        <v>2664</v>
      </c>
      <c r="C463" s="13">
        <v>1094.9000000000001</v>
      </c>
      <c r="D463" s="8" t="s">
        <v>2665</v>
      </c>
      <c r="E463" s="8" t="s">
        <v>2653</v>
      </c>
      <c r="F463" s="8" t="s">
        <v>2647</v>
      </c>
      <c r="G463" s="6" t="s">
        <v>58</v>
      </c>
      <c r="H463" s="6" t="s">
        <v>38</v>
      </c>
      <c r="I463" s="8"/>
      <c r="J463" s="9">
        <v>1</v>
      </c>
      <c r="K463" s="9">
        <v>448</v>
      </c>
      <c r="L463" s="9">
        <v>2018</v>
      </c>
      <c r="M463" s="8" t="s">
        <v>2666</v>
      </c>
      <c r="N463" s="8" t="s">
        <v>40</v>
      </c>
      <c r="O463" s="8" t="s">
        <v>41</v>
      </c>
      <c r="P463" s="6" t="s">
        <v>95</v>
      </c>
      <c r="Q463" s="8" t="s">
        <v>76</v>
      </c>
      <c r="R463" s="10" t="s">
        <v>2649</v>
      </c>
      <c r="S463" s="11" t="s">
        <v>2650</v>
      </c>
      <c r="T463" s="6"/>
      <c r="U463" s="12"/>
      <c r="V463" s="28" t="str">
        <f>HYPERLINK("https://znanium.com/catalog/product/1896824", "Ознакомиться")</f>
        <v>Ознакомиться</v>
      </c>
      <c r="W463" s="8" t="s">
        <v>124</v>
      </c>
      <c r="X463" s="6"/>
      <c r="Y463" s="6"/>
      <c r="Z463" s="6"/>
      <c r="AA463" s="6" t="s">
        <v>422</v>
      </c>
    </row>
    <row r="464" spans="1:27" s="4" customFormat="1" ht="51.95" customHeight="1">
      <c r="A464" s="5">
        <v>0</v>
      </c>
      <c r="B464" s="6" t="s">
        <v>2667</v>
      </c>
      <c r="C464" s="7">
        <v>739.9</v>
      </c>
      <c r="D464" s="8" t="s">
        <v>2668</v>
      </c>
      <c r="E464" s="8" t="s">
        <v>2653</v>
      </c>
      <c r="F464" s="8" t="s">
        <v>2634</v>
      </c>
      <c r="G464" s="6" t="s">
        <v>1726</v>
      </c>
      <c r="H464" s="6" t="s">
        <v>38</v>
      </c>
      <c r="I464" s="8"/>
      <c r="J464" s="9">
        <v>10</v>
      </c>
      <c r="K464" s="9">
        <v>368</v>
      </c>
      <c r="L464" s="9">
        <v>2016</v>
      </c>
      <c r="M464" s="8" t="s">
        <v>2669</v>
      </c>
      <c r="N464" s="8" t="s">
        <v>40</v>
      </c>
      <c r="O464" s="8" t="s">
        <v>41</v>
      </c>
      <c r="P464" s="6" t="s">
        <v>95</v>
      </c>
      <c r="Q464" s="8" t="s">
        <v>76</v>
      </c>
      <c r="R464" s="10" t="s">
        <v>2636</v>
      </c>
      <c r="S464" s="11" t="s">
        <v>2637</v>
      </c>
      <c r="T464" s="6"/>
      <c r="U464" s="12"/>
      <c r="V464" s="28" t="str">
        <f>HYPERLINK("https://znanium.com/catalog/product/1080890", "Ознакомиться")</f>
        <v>Ознакомиться</v>
      </c>
      <c r="W464" s="8" t="s">
        <v>2638</v>
      </c>
      <c r="X464" s="6"/>
      <c r="Y464" s="6"/>
      <c r="Z464" s="6"/>
      <c r="AA464" s="6" t="s">
        <v>88</v>
      </c>
    </row>
    <row r="465" spans="1:27" s="4" customFormat="1" ht="51.95" customHeight="1">
      <c r="A465" s="5">
        <v>0</v>
      </c>
      <c r="B465" s="6" t="s">
        <v>2670</v>
      </c>
      <c r="C465" s="13">
        <v>1330</v>
      </c>
      <c r="D465" s="8" t="s">
        <v>2671</v>
      </c>
      <c r="E465" s="8" t="s">
        <v>2653</v>
      </c>
      <c r="F465" s="8" t="s">
        <v>2641</v>
      </c>
      <c r="G465" s="6" t="s">
        <v>58</v>
      </c>
      <c r="H465" s="6" t="s">
        <v>52</v>
      </c>
      <c r="I465" s="8" t="s">
        <v>185</v>
      </c>
      <c r="J465" s="9">
        <v>1</v>
      </c>
      <c r="K465" s="9">
        <v>390</v>
      </c>
      <c r="L465" s="9">
        <v>2020</v>
      </c>
      <c r="M465" s="8" t="s">
        <v>2672</v>
      </c>
      <c r="N465" s="8" t="s">
        <v>40</v>
      </c>
      <c r="O465" s="8" t="s">
        <v>41</v>
      </c>
      <c r="P465" s="6" t="s">
        <v>95</v>
      </c>
      <c r="Q465" s="8" t="s">
        <v>76</v>
      </c>
      <c r="R465" s="10" t="s">
        <v>2643</v>
      </c>
      <c r="S465" s="11"/>
      <c r="T465" s="6" t="s">
        <v>368</v>
      </c>
      <c r="U465" s="28" t="str">
        <f>HYPERLINK("https://media.infra-m.ru/1094/1094315/cover/1094315.jpg", "Обложка")</f>
        <v>Обложка</v>
      </c>
      <c r="V465" s="28" t="str">
        <f>HYPERLINK("https://znanium.com/catalog/product/1893958", "Ознакомиться")</f>
        <v>Ознакомиться</v>
      </c>
      <c r="W465" s="8" t="s">
        <v>2644</v>
      </c>
      <c r="X465" s="6"/>
      <c r="Y465" s="6"/>
      <c r="Z465" s="6"/>
      <c r="AA465" s="6" t="s">
        <v>88</v>
      </c>
    </row>
    <row r="466" spans="1:27" s="4" customFormat="1" ht="51.95" customHeight="1">
      <c r="A466" s="5">
        <v>0</v>
      </c>
      <c r="B466" s="6" t="s">
        <v>2673</v>
      </c>
      <c r="C466" s="7">
        <v>300</v>
      </c>
      <c r="D466" s="8" t="s">
        <v>2674</v>
      </c>
      <c r="E466" s="8" t="s">
        <v>2675</v>
      </c>
      <c r="F466" s="8" t="s">
        <v>2676</v>
      </c>
      <c r="G466" s="6" t="s">
        <v>51</v>
      </c>
      <c r="H466" s="6" t="s">
        <v>52</v>
      </c>
      <c r="I466" s="8"/>
      <c r="J466" s="9">
        <v>1</v>
      </c>
      <c r="K466" s="9">
        <v>84</v>
      </c>
      <c r="L466" s="9">
        <v>2019</v>
      </c>
      <c r="M466" s="8" t="s">
        <v>2677</v>
      </c>
      <c r="N466" s="8" t="s">
        <v>40</v>
      </c>
      <c r="O466" s="8" t="s">
        <v>41</v>
      </c>
      <c r="P466" s="6" t="s">
        <v>75</v>
      </c>
      <c r="Q466" s="8" t="s">
        <v>76</v>
      </c>
      <c r="R466" s="10" t="s">
        <v>2678</v>
      </c>
      <c r="S466" s="11"/>
      <c r="T466" s="6"/>
      <c r="U466" s="28" t="str">
        <f>HYPERLINK("https://media.infra-m.ru/1029/1029095/cover/1029095.jpg", "Обложка")</f>
        <v>Обложка</v>
      </c>
      <c r="V466" s="28" t="str">
        <f>HYPERLINK("https://znanium.com/catalog/product/1029095", "Ознакомиться")</f>
        <v>Ознакомиться</v>
      </c>
      <c r="W466" s="8" t="s">
        <v>2679</v>
      </c>
      <c r="X466" s="6"/>
      <c r="Y466" s="6"/>
      <c r="Z466" s="6"/>
      <c r="AA466" s="6" t="s">
        <v>46</v>
      </c>
    </row>
    <row r="467" spans="1:27" s="4" customFormat="1" ht="51.95" customHeight="1">
      <c r="A467" s="5">
        <v>0</v>
      </c>
      <c r="B467" s="6" t="s">
        <v>2680</v>
      </c>
      <c r="C467" s="13">
        <v>2800</v>
      </c>
      <c r="D467" s="8" t="s">
        <v>2681</v>
      </c>
      <c r="E467" s="8" t="s">
        <v>2682</v>
      </c>
      <c r="F467" s="8" t="s">
        <v>2683</v>
      </c>
      <c r="G467" s="6" t="s">
        <v>37</v>
      </c>
      <c r="H467" s="6" t="s">
        <v>38</v>
      </c>
      <c r="I467" s="8"/>
      <c r="J467" s="9">
        <v>1</v>
      </c>
      <c r="K467" s="9">
        <v>704</v>
      </c>
      <c r="L467" s="9">
        <v>2023</v>
      </c>
      <c r="M467" s="8" t="s">
        <v>2684</v>
      </c>
      <c r="N467" s="8" t="s">
        <v>40</v>
      </c>
      <c r="O467" s="8" t="s">
        <v>41</v>
      </c>
      <c r="P467" s="6" t="s">
        <v>95</v>
      </c>
      <c r="Q467" s="8" t="s">
        <v>76</v>
      </c>
      <c r="R467" s="10" t="s">
        <v>2614</v>
      </c>
      <c r="S467" s="11"/>
      <c r="T467" s="6"/>
      <c r="U467" s="28" t="str">
        <f>HYPERLINK("https://media.infra-m.ru/1977/1977973/cover/1977973.jpg", "Обложка")</f>
        <v>Обложка</v>
      </c>
      <c r="V467" s="28" t="str">
        <f>HYPERLINK("https://znanium.com/catalog/product/1905055", "Ознакомиться")</f>
        <v>Ознакомиться</v>
      </c>
      <c r="W467" s="8" t="s">
        <v>1482</v>
      </c>
      <c r="X467" s="6"/>
      <c r="Y467" s="6"/>
      <c r="Z467" s="6"/>
      <c r="AA467" s="6" t="s">
        <v>2685</v>
      </c>
    </row>
    <row r="468" spans="1:27" s="4" customFormat="1" ht="44.1" customHeight="1">
      <c r="A468" s="5">
        <v>0</v>
      </c>
      <c r="B468" s="6" t="s">
        <v>2686</v>
      </c>
      <c r="C468" s="13">
        <v>1924.9</v>
      </c>
      <c r="D468" s="8" t="s">
        <v>2687</v>
      </c>
      <c r="E468" s="8" t="s">
        <v>2688</v>
      </c>
      <c r="F468" s="8" t="s">
        <v>2689</v>
      </c>
      <c r="G468" s="6" t="s">
        <v>58</v>
      </c>
      <c r="H468" s="6" t="s">
        <v>84</v>
      </c>
      <c r="I468" s="8" t="s">
        <v>251</v>
      </c>
      <c r="J468" s="9">
        <v>1</v>
      </c>
      <c r="K468" s="9">
        <v>427</v>
      </c>
      <c r="L468" s="9">
        <v>2023</v>
      </c>
      <c r="M468" s="8" t="s">
        <v>2690</v>
      </c>
      <c r="N468" s="8" t="s">
        <v>40</v>
      </c>
      <c r="O468" s="8" t="s">
        <v>41</v>
      </c>
      <c r="P468" s="6" t="s">
        <v>42</v>
      </c>
      <c r="Q468" s="8" t="s">
        <v>43</v>
      </c>
      <c r="R468" s="10" t="s">
        <v>718</v>
      </c>
      <c r="S468" s="11"/>
      <c r="T468" s="6"/>
      <c r="U468" s="28" t="str">
        <f>HYPERLINK("https://media.infra-m.ru/2044/2044343/cover/2044343.jpg", "Обложка")</f>
        <v>Обложка</v>
      </c>
      <c r="V468" s="28" t="str">
        <f>HYPERLINK("https://znanium.com/catalog/product/947759", "Ознакомиться")</f>
        <v>Ознакомиться</v>
      </c>
      <c r="W468" s="8" t="s">
        <v>107</v>
      </c>
      <c r="X468" s="6"/>
      <c r="Y468" s="6"/>
      <c r="Z468" s="6"/>
      <c r="AA468" s="6" t="s">
        <v>289</v>
      </c>
    </row>
    <row r="469" spans="1:27" s="4" customFormat="1" ht="42" customHeight="1">
      <c r="A469" s="5">
        <v>0</v>
      </c>
      <c r="B469" s="6" t="s">
        <v>2691</v>
      </c>
      <c r="C469" s="13">
        <v>1860</v>
      </c>
      <c r="D469" s="8" t="s">
        <v>2692</v>
      </c>
      <c r="E469" s="8" t="s">
        <v>2693</v>
      </c>
      <c r="F469" s="8" t="s">
        <v>2654</v>
      </c>
      <c r="G469" s="6" t="s">
        <v>58</v>
      </c>
      <c r="H469" s="6" t="s">
        <v>52</v>
      </c>
      <c r="I469" s="8" t="s">
        <v>2171</v>
      </c>
      <c r="J469" s="9">
        <v>1</v>
      </c>
      <c r="K469" s="9">
        <v>398</v>
      </c>
      <c r="L469" s="9">
        <v>2022</v>
      </c>
      <c r="M469" s="8" t="s">
        <v>2694</v>
      </c>
      <c r="N469" s="8" t="s">
        <v>40</v>
      </c>
      <c r="O469" s="8" t="s">
        <v>41</v>
      </c>
      <c r="P469" s="6" t="s">
        <v>95</v>
      </c>
      <c r="Q469" s="8" t="s">
        <v>96</v>
      </c>
      <c r="R469" s="10" t="s">
        <v>113</v>
      </c>
      <c r="S469" s="11"/>
      <c r="T469" s="6"/>
      <c r="U469" s="28" t="str">
        <f>HYPERLINK("https://media.infra-m.ru/1850/1850574/cover/1850574.jpg", "Обложка")</f>
        <v>Обложка</v>
      </c>
      <c r="V469" s="12"/>
      <c r="W469" s="8" t="s">
        <v>114</v>
      </c>
      <c r="X469" s="6"/>
      <c r="Y469" s="6"/>
      <c r="Z469" s="6" t="s">
        <v>136</v>
      </c>
      <c r="AA469" s="6" t="s">
        <v>343</v>
      </c>
    </row>
    <row r="470" spans="1:27" s="4" customFormat="1" ht="42" customHeight="1">
      <c r="A470" s="5">
        <v>0</v>
      </c>
      <c r="B470" s="6" t="s">
        <v>2695</v>
      </c>
      <c r="C470" s="13">
        <v>1890</v>
      </c>
      <c r="D470" s="8" t="s">
        <v>2696</v>
      </c>
      <c r="E470" s="8" t="s">
        <v>2697</v>
      </c>
      <c r="F470" s="8" t="s">
        <v>2654</v>
      </c>
      <c r="G470" s="6" t="s">
        <v>58</v>
      </c>
      <c r="H470" s="6" t="s">
        <v>52</v>
      </c>
      <c r="I470" s="8" t="s">
        <v>2171</v>
      </c>
      <c r="J470" s="9">
        <v>1</v>
      </c>
      <c r="K470" s="9">
        <v>402</v>
      </c>
      <c r="L470" s="9">
        <v>2024</v>
      </c>
      <c r="M470" s="8" t="s">
        <v>2698</v>
      </c>
      <c r="N470" s="8" t="s">
        <v>40</v>
      </c>
      <c r="O470" s="8" t="s">
        <v>41</v>
      </c>
      <c r="P470" s="6" t="s">
        <v>95</v>
      </c>
      <c r="Q470" s="8" t="s">
        <v>96</v>
      </c>
      <c r="R470" s="10" t="s">
        <v>113</v>
      </c>
      <c r="S470" s="11"/>
      <c r="T470" s="6"/>
      <c r="U470" s="28" t="str">
        <f>HYPERLINK("https://media.infra-m.ru/1862/1862169/cover/1862169.jpg", "Обложка")</f>
        <v>Обложка</v>
      </c>
      <c r="V470" s="12"/>
      <c r="W470" s="8" t="s">
        <v>114</v>
      </c>
      <c r="X470" s="6" t="s">
        <v>381</v>
      </c>
      <c r="Y470" s="6"/>
      <c r="Z470" s="6" t="s">
        <v>136</v>
      </c>
      <c r="AA470" s="6" t="s">
        <v>382</v>
      </c>
    </row>
    <row r="471" spans="1:27" s="4" customFormat="1" ht="51.95" customHeight="1">
      <c r="A471" s="5">
        <v>0</v>
      </c>
      <c r="B471" s="6" t="s">
        <v>2699</v>
      </c>
      <c r="C471" s="7">
        <v>880</v>
      </c>
      <c r="D471" s="8" t="s">
        <v>2700</v>
      </c>
      <c r="E471" s="8" t="s">
        <v>2701</v>
      </c>
      <c r="F471" s="8" t="s">
        <v>2702</v>
      </c>
      <c r="G471" s="6" t="s">
        <v>58</v>
      </c>
      <c r="H471" s="6" t="s">
        <v>84</v>
      </c>
      <c r="I471" s="8" t="s">
        <v>251</v>
      </c>
      <c r="J471" s="9">
        <v>1</v>
      </c>
      <c r="K471" s="9">
        <v>197</v>
      </c>
      <c r="L471" s="9">
        <v>2022</v>
      </c>
      <c r="M471" s="8" t="s">
        <v>2703</v>
      </c>
      <c r="N471" s="8" t="s">
        <v>40</v>
      </c>
      <c r="O471" s="8" t="s">
        <v>41</v>
      </c>
      <c r="P471" s="6" t="s">
        <v>42</v>
      </c>
      <c r="Q471" s="8" t="s">
        <v>43</v>
      </c>
      <c r="R471" s="10" t="s">
        <v>2704</v>
      </c>
      <c r="S471" s="11"/>
      <c r="T471" s="6"/>
      <c r="U471" s="28" t="str">
        <f>HYPERLINK("https://media.infra-m.ru/1859/1859643/cover/1859643.jpg", "Обложка")</f>
        <v>Обложка</v>
      </c>
      <c r="V471" s="28" t="str">
        <f>HYPERLINK("https://znanium.com/catalog/product/1859643", "Ознакомиться")</f>
        <v>Ознакомиться</v>
      </c>
      <c r="W471" s="8" t="s">
        <v>2705</v>
      </c>
      <c r="X471" s="6"/>
      <c r="Y471" s="6"/>
      <c r="Z471" s="6"/>
      <c r="AA471" s="6" t="s">
        <v>343</v>
      </c>
    </row>
    <row r="472" spans="1:27" s="4" customFormat="1" ht="42" customHeight="1">
      <c r="A472" s="5">
        <v>0</v>
      </c>
      <c r="B472" s="6" t="s">
        <v>2706</v>
      </c>
      <c r="C472" s="13">
        <v>2184</v>
      </c>
      <c r="D472" s="8" t="s">
        <v>2707</v>
      </c>
      <c r="E472" s="8" t="s">
        <v>2708</v>
      </c>
      <c r="F472" s="8" t="s">
        <v>2709</v>
      </c>
      <c r="G472" s="6" t="s">
        <v>58</v>
      </c>
      <c r="H472" s="6" t="s">
        <v>38</v>
      </c>
      <c r="I472" s="8"/>
      <c r="J472" s="9">
        <v>1</v>
      </c>
      <c r="K472" s="9">
        <v>496</v>
      </c>
      <c r="L472" s="9">
        <v>2024</v>
      </c>
      <c r="M472" s="8" t="s">
        <v>2710</v>
      </c>
      <c r="N472" s="8" t="s">
        <v>40</v>
      </c>
      <c r="O472" s="8" t="s">
        <v>41</v>
      </c>
      <c r="P472" s="6" t="s">
        <v>42</v>
      </c>
      <c r="Q472" s="8" t="s">
        <v>43</v>
      </c>
      <c r="R472" s="10" t="s">
        <v>310</v>
      </c>
      <c r="S472" s="11"/>
      <c r="T472" s="6"/>
      <c r="U472" s="28" t="str">
        <f>HYPERLINK("https://media.infra-m.ru/2115/2115200/cover/2115200.jpg", "Обложка")</f>
        <v>Обложка</v>
      </c>
      <c r="V472" s="28" t="str">
        <f>HYPERLINK("https://znanium.com/catalog/product/1832364", "Ознакомиться")</f>
        <v>Ознакомиться</v>
      </c>
      <c r="W472" s="8" t="s">
        <v>1482</v>
      </c>
      <c r="X472" s="6"/>
      <c r="Y472" s="6"/>
      <c r="Z472" s="6"/>
      <c r="AA472" s="6" t="s">
        <v>311</v>
      </c>
    </row>
    <row r="473" spans="1:27" s="4" customFormat="1" ht="51.95" customHeight="1">
      <c r="A473" s="5">
        <v>0</v>
      </c>
      <c r="B473" s="6" t="s">
        <v>2711</v>
      </c>
      <c r="C473" s="7">
        <v>570</v>
      </c>
      <c r="D473" s="8" t="s">
        <v>2712</v>
      </c>
      <c r="E473" s="8" t="s">
        <v>2713</v>
      </c>
      <c r="F473" s="8" t="s">
        <v>2714</v>
      </c>
      <c r="G473" s="6" t="s">
        <v>51</v>
      </c>
      <c r="H473" s="6" t="s">
        <v>1247</v>
      </c>
      <c r="I473" s="8" t="s">
        <v>1248</v>
      </c>
      <c r="J473" s="9">
        <v>1</v>
      </c>
      <c r="K473" s="9">
        <v>116</v>
      </c>
      <c r="L473" s="9">
        <v>2024</v>
      </c>
      <c r="M473" s="8" t="s">
        <v>2715</v>
      </c>
      <c r="N473" s="8" t="s">
        <v>40</v>
      </c>
      <c r="O473" s="8" t="s">
        <v>41</v>
      </c>
      <c r="P473" s="6" t="s">
        <v>42</v>
      </c>
      <c r="Q473" s="8" t="s">
        <v>43</v>
      </c>
      <c r="R473" s="10" t="s">
        <v>776</v>
      </c>
      <c r="S473" s="11"/>
      <c r="T473" s="6"/>
      <c r="U473" s="28" t="str">
        <f>HYPERLINK("https://media.infra-m.ru/2086/2086792/cover/2086792.jpg", "Обложка")</f>
        <v>Обложка</v>
      </c>
      <c r="V473" s="28" t="str">
        <f>HYPERLINK("https://znanium.com/catalog/product/2086792", "Ознакомиться")</f>
        <v>Ознакомиться</v>
      </c>
      <c r="W473" s="8" t="s">
        <v>114</v>
      </c>
      <c r="X473" s="6"/>
      <c r="Y473" s="6"/>
      <c r="Z473" s="6"/>
      <c r="AA473" s="6" t="s">
        <v>215</v>
      </c>
    </row>
    <row r="474" spans="1:27" s="4" customFormat="1" ht="51.95" customHeight="1">
      <c r="A474" s="5">
        <v>0</v>
      </c>
      <c r="B474" s="6" t="s">
        <v>2716</v>
      </c>
      <c r="C474" s="7">
        <v>460</v>
      </c>
      <c r="D474" s="8" t="s">
        <v>2717</v>
      </c>
      <c r="E474" s="8" t="s">
        <v>2718</v>
      </c>
      <c r="F474" s="8" t="s">
        <v>2719</v>
      </c>
      <c r="G474" s="6" t="s">
        <v>51</v>
      </c>
      <c r="H474" s="6" t="s">
        <v>38</v>
      </c>
      <c r="I474" s="8"/>
      <c r="J474" s="9">
        <v>1</v>
      </c>
      <c r="K474" s="9">
        <v>128</v>
      </c>
      <c r="L474" s="9">
        <v>2021</v>
      </c>
      <c r="M474" s="8" t="s">
        <v>2720</v>
      </c>
      <c r="N474" s="8" t="s">
        <v>40</v>
      </c>
      <c r="O474" s="8" t="s">
        <v>41</v>
      </c>
      <c r="P474" s="6" t="s">
        <v>95</v>
      </c>
      <c r="Q474" s="8" t="s">
        <v>157</v>
      </c>
      <c r="R474" s="10" t="s">
        <v>2721</v>
      </c>
      <c r="S474" s="11" t="s">
        <v>2722</v>
      </c>
      <c r="T474" s="6"/>
      <c r="U474" s="28" t="str">
        <f>HYPERLINK("https://media.infra-m.ru/1216/1216930/cover/1216930.jpg", "Обложка")</f>
        <v>Обложка</v>
      </c>
      <c r="V474" s="28" t="str">
        <f>HYPERLINK("https://znanium.com/catalog/product/1216930", "Ознакомиться")</f>
        <v>Ознакомиться</v>
      </c>
      <c r="W474" s="8" t="s">
        <v>114</v>
      </c>
      <c r="X474" s="6"/>
      <c r="Y474" s="6"/>
      <c r="Z474" s="6"/>
      <c r="AA474" s="6" t="s">
        <v>88</v>
      </c>
    </row>
    <row r="475" spans="1:27" s="4" customFormat="1" ht="51.95" customHeight="1">
      <c r="A475" s="5">
        <v>0</v>
      </c>
      <c r="B475" s="6" t="s">
        <v>2723</v>
      </c>
      <c r="C475" s="7">
        <v>890</v>
      </c>
      <c r="D475" s="8" t="s">
        <v>2724</v>
      </c>
      <c r="E475" s="8" t="s">
        <v>2725</v>
      </c>
      <c r="F475" s="8" t="s">
        <v>2726</v>
      </c>
      <c r="G475" s="6" t="s">
        <v>51</v>
      </c>
      <c r="H475" s="6" t="s">
        <v>52</v>
      </c>
      <c r="I475" s="8" t="s">
        <v>251</v>
      </c>
      <c r="J475" s="9">
        <v>1</v>
      </c>
      <c r="K475" s="9">
        <v>248</v>
      </c>
      <c r="L475" s="9">
        <v>2020</v>
      </c>
      <c r="M475" s="8" t="s">
        <v>2727</v>
      </c>
      <c r="N475" s="8" t="s">
        <v>40</v>
      </c>
      <c r="O475" s="8" t="s">
        <v>41</v>
      </c>
      <c r="P475" s="6" t="s">
        <v>42</v>
      </c>
      <c r="Q475" s="8" t="s">
        <v>43</v>
      </c>
      <c r="R475" s="10" t="s">
        <v>2728</v>
      </c>
      <c r="S475" s="11"/>
      <c r="T475" s="6"/>
      <c r="U475" s="28" t="str">
        <f>HYPERLINK("https://media.infra-m.ru/1039/1039263/cover/1039263.jpg", "Обложка")</f>
        <v>Обложка</v>
      </c>
      <c r="V475" s="28" t="str">
        <f>HYPERLINK("https://znanium.com/catalog/product/1039263", "Ознакомиться")</f>
        <v>Ознакомиться</v>
      </c>
      <c r="W475" s="8" t="s">
        <v>2729</v>
      </c>
      <c r="X475" s="6"/>
      <c r="Y475" s="6"/>
      <c r="Z475" s="6"/>
      <c r="AA475" s="6" t="s">
        <v>46</v>
      </c>
    </row>
    <row r="476" spans="1:27" s="4" customFormat="1" ht="51.95" customHeight="1">
      <c r="A476" s="5">
        <v>0</v>
      </c>
      <c r="B476" s="6" t="s">
        <v>2730</v>
      </c>
      <c r="C476" s="13">
        <v>1800</v>
      </c>
      <c r="D476" s="8" t="s">
        <v>2731</v>
      </c>
      <c r="E476" s="8" t="s">
        <v>2732</v>
      </c>
      <c r="F476" s="8" t="s">
        <v>250</v>
      </c>
      <c r="G476" s="6" t="s">
        <v>37</v>
      </c>
      <c r="H476" s="6" t="s">
        <v>84</v>
      </c>
      <c r="I476" s="8" t="s">
        <v>1140</v>
      </c>
      <c r="J476" s="9">
        <v>1</v>
      </c>
      <c r="K476" s="9">
        <v>396</v>
      </c>
      <c r="L476" s="9">
        <v>2023</v>
      </c>
      <c r="M476" s="8" t="s">
        <v>2733</v>
      </c>
      <c r="N476" s="8" t="s">
        <v>40</v>
      </c>
      <c r="O476" s="8" t="s">
        <v>41</v>
      </c>
      <c r="P476" s="6" t="s">
        <v>95</v>
      </c>
      <c r="Q476" s="8" t="s">
        <v>1199</v>
      </c>
      <c r="R476" s="10" t="s">
        <v>2734</v>
      </c>
      <c r="S476" s="11" t="s">
        <v>2735</v>
      </c>
      <c r="T476" s="6"/>
      <c r="U476" s="28" t="str">
        <f>HYPERLINK("https://media.infra-m.ru/1927/1927379/cover/1927379.jpg", "Обложка")</f>
        <v>Обложка</v>
      </c>
      <c r="V476" s="28" t="str">
        <f>HYPERLINK("https://znanium.com/catalog/product/1927379", "Ознакомиться")</f>
        <v>Ознакомиться</v>
      </c>
      <c r="W476" s="8" t="s">
        <v>195</v>
      </c>
      <c r="X476" s="6"/>
      <c r="Y476" s="6"/>
      <c r="Z476" s="6"/>
      <c r="AA476" s="6" t="s">
        <v>143</v>
      </c>
    </row>
    <row r="477" spans="1:27" s="4" customFormat="1" ht="51.95" customHeight="1">
      <c r="A477" s="5">
        <v>0</v>
      </c>
      <c r="B477" s="6" t="s">
        <v>2736</v>
      </c>
      <c r="C477" s="13">
        <v>1350</v>
      </c>
      <c r="D477" s="8" t="s">
        <v>2737</v>
      </c>
      <c r="E477" s="8" t="s">
        <v>2738</v>
      </c>
      <c r="F477" s="8" t="s">
        <v>250</v>
      </c>
      <c r="G477" s="6" t="s">
        <v>37</v>
      </c>
      <c r="H477" s="6" t="s">
        <v>84</v>
      </c>
      <c r="I477" s="8" t="s">
        <v>1140</v>
      </c>
      <c r="J477" s="9">
        <v>1</v>
      </c>
      <c r="K477" s="9">
        <v>363</v>
      </c>
      <c r="L477" s="9">
        <v>2021</v>
      </c>
      <c r="M477" s="8" t="s">
        <v>2739</v>
      </c>
      <c r="N477" s="8" t="s">
        <v>40</v>
      </c>
      <c r="O477" s="8" t="s">
        <v>41</v>
      </c>
      <c r="P477" s="6" t="s">
        <v>75</v>
      </c>
      <c r="Q477" s="8" t="s">
        <v>1199</v>
      </c>
      <c r="R477" s="10" t="s">
        <v>2734</v>
      </c>
      <c r="S477" s="11" t="s">
        <v>2740</v>
      </c>
      <c r="T477" s="6"/>
      <c r="U477" s="28" t="str">
        <f>HYPERLINK("https://media.infra-m.ru/1088/1088377/cover/1088377.jpg", "Обложка")</f>
        <v>Обложка</v>
      </c>
      <c r="V477" s="28" t="str">
        <f>HYPERLINK("https://znanium.com/catalog/product/1927379", "Ознакомиться")</f>
        <v>Ознакомиться</v>
      </c>
      <c r="W477" s="8" t="s">
        <v>195</v>
      </c>
      <c r="X477" s="6"/>
      <c r="Y477" s="6"/>
      <c r="Z477" s="6"/>
      <c r="AA477" s="6" t="s">
        <v>115</v>
      </c>
    </row>
    <row r="478" spans="1:27" s="4" customFormat="1" ht="51.95" customHeight="1">
      <c r="A478" s="5">
        <v>0</v>
      </c>
      <c r="B478" s="6" t="s">
        <v>2741</v>
      </c>
      <c r="C478" s="13">
        <v>2100</v>
      </c>
      <c r="D478" s="8" t="s">
        <v>2742</v>
      </c>
      <c r="E478" s="8" t="s">
        <v>2743</v>
      </c>
      <c r="F478" s="8" t="s">
        <v>2744</v>
      </c>
      <c r="G478" s="6" t="s">
        <v>58</v>
      </c>
      <c r="H478" s="6" t="s">
        <v>38</v>
      </c>
      <c r="I478" s="8"/>
      <c r="J478" s="9">
        <v>1</v>
      </c>
      <c r="K478" s="9">
        <v>448</v>
      </c>
      <c r="L478" s="9">
        <v>2023</v>
      </c>
      <c r="M478" s="8" t="s">
        <v>2745</v>
      </c>
      <c r="N478" s="8" t="s">
        <v>40</v>
      </c>
      <c r="O478" s="8" t="s">
        <v>41</v>
      </c>
      <c r="P478" s="6" t="s">
        <v>42</v>
      </c>
      <c r="Q478" s="8" t="s">
        <v>43</v>
      </c>
      <c r="R478" s="10" t="s">
        <v>2746</v>
      </c>
      <c r="S478" s="11"/>
      <c r="T478" s="6"/>
      <c r="U478" s="28" t="str">
        <f>HYPERLINK("https://media.infra-m.ru/2114/2114273/cover/2114273.jpg", "Обложка")</f>
        <v>Обложка</v>
      </c>
      <c r="V478" s="28" t="str">
        <f>HYPERLINK("https://znanium.com/catalog/product/2114273", "Ознакомиться")</f>
        <v>Ознакомиться</v>
      </c>
      <c r="W478" s="8" t="s">
        <v>61</v>
      </c>
      <c r="X478" s="6"/>
      <c r="Y478" s="6"/>
      <c r="Z478" s="6"/>
      <c r="AA478" s="6" t="s">
        <v>836</v>
      </c>
    </row>
    <row r="479" spans="1:27" s="4" customFormat="1" ht="51.95" customHeight="1">
      <c r="A479" s="5">
        <v>0</v>
      </c>
      <c r="B479" s="6" t="s">
        <v>2747</v>
      </c>
      <c r="C479" s="13">
        <v>1160</v>
      </c>
      <c r="D479" s="8" t="s">
        <v>2748</v>
      </c>
      <c r="E479" s="8" t="s">
        <v>2749</v>
      </c>
      <c r="F479" s="8" t="s">
        <v>2750</v>
      </c>
      <c r="G479" s="6" t="s">
        <v>58</v>
      </c>
      <c r="H479" s="6" t="s">
        <v>38</v>
      </c>
      <c r="I479" s="8"/>
      <c r="J479" s="9">
        <v>1</v>
      </c>
      <c r="K479" s="9">
        <v>256</v>
      </c>
      <c r="L479" s="9">
        <v>2023</v>
      </c>
      <c r="M479" s="8" t="s">
        <v>2751</v>
      </c>
      <c r="N479" s="8" t="s">
        <v>40</v>
      </c>
      <c r="O479" s="8" t="s">
        <v>41</v>
      </c>
      <c r="P479" s="6" t="s">
        <v>75</v>
      </c>
      <c r="Q479" s="8" t="s">
        <v>76</v>
      </c>
      <c r="R479" s="10" t="s">
        <v>2752</v>
      </c>
      <c r="S479" s="11"/>
      <c r="T479" s="6"/>
      <c r="U479" s="28" t="str">
        <f>HYPERLINK("https://media.infra-m.ru/2007/2007736/cover/2007736.jpg", "Обложка")</f>
        <v>Обложка</v>
      </c>
      <c r="V479" s="28" t="str">
        <f>HYPERLINK("https://znanium.com/catalog/product/2007736", "Ознакомиться")</f>
        <v>Ознакомиться</v>
      </c>
      <c r="W479" s="8" t="s">
        <v>114</v>
      </c>
      <c r="X479" s="6" t="s">
        <v>1144</v>
      </c>
      <c r="Y479" s="6"/>
      <c r="Z479" s="6"/>
      <c r="AA479" s="6" t="s">
        <v>137</v>
      </c>
    </row>
    <row r="480" spans="1:27" s="4" customFormat="1" ht="51.95" customHeight="1">
      <c r="A480" s="5">
        <v>0</v>
      </c>
      <c r="B480" s="6" t="s">
        <v>2753</v>
      </c>
      <c r="C480" s="7">
        <v>770</v>
      </c>
      <c r="D480" s="8" t="s">
        <v>2754</v>
      </c>
      <c r="E480" s="8" t="s">
        <v>2755</v>
      </c>
      <c r="F480" s="8" t="s">
        <v>2750</v>
      </c>
      <c r="G480" s="6" t="s">
        <v>58</v>
      </c>
      <c r="H480" s="6" t="s">
        <v>38</v>
      </c>
      <c r="I480" s="8"/>
      <c r="J480" s="9">
        <v>1</v>
      </c>
      <c r="K480" s="9">
        <v>224</v>
      </c>
      <c r="L480" s="9">
        <v>2020</v>
      </c>
      <c r="M480" s="8" t="s">
        <v>2756</v>
      </c>
      <c r="N480" s="8" t="s">
        <v>40</v>
      </c>
      <c r="O480" s="8" t="s">
        <v>41</v>
      </c>
      <c r="P480" s="6" t="s">
        <v>75</v>
      </c>
      <c r="Q480" s="8" t="s">
        <v>76</v>
      </c>
      <c r="R480" s="10" t="s">
        <v>2752</v>
      </c>
      <c r="S480" s="11"/>
      <c r="T480" s="6"/>
      <c r="U480" s="28" t="str">
        <f>HYPERLINK("https://media.infra-m.ru/1063/1063769/cover/1063769.jpg", "Обложка")</f>
        <v>Обложка</v>
      </c>
      <c r="V480" s="28" t="str">
        <f>HYPERLINK("https://znanium.com/catalog/product/2007736", "Ознакомиться")</f>
        <v>Ознакомиться</v>
      </c>
      <c r="W480" s="8" t="s">
        <v>114</v>
      </c>
      <c r="X480" s="6"/>
      <c r="Y480" s="6"/>
      <c r="Z480" s="6"/>
      <c r="AA480" s="6" t="s">
        <v>46</v>
      </c>
    </row>
    <row r="481" spans="1:27" s="4" customFormat="1" ht="42" customHeight="1">
      <c r="A481" s="5">
        <v>0</v>
      </c>
      <c r="B481" s="6" t="s">
        <v>2757</v>
      </c>
      <c r="C481" s="7">
        <v>581.9</v>
      </c>
      <c r="D481" s="8" t="s">
        <v>2758</v>
      </c>
      <c r="E481" s="8" t="s">
        <v>2759</v>
      </c>
      <c r="F481" s="8" t="s">
        <v>929</v>
      </c>
      <c r="G481" s="6" t="s">
        <v>26</v>
      </c>
      <c r="H481" s="6" t="s">
        <v>38</v>
      </c>
      <c r="I481" s="8"/>
      <c r="J481" s="14">
        <v>0</v>
      </c>
      <c r="K481" s="9">
        <v>178</v>
      </c>
      <c r="L481" s="9">
        <v>2016</v>
      </c>
      <c r="M481" s="8" t="s">
        <v>2760</v>
      </c>
      <c r="N481" s="8" t="s">
        <v>40</v>
      </c>
      <c r="O481" s="8" t="s">
        <v>41</v>
      </c>
      <c r="P481" s="6" t="s">
        <v>42</v>
      </c>
      <c r="Q481" s="8" t="s">
        <v>43</v>
      </c>
      <c r="R481" s="10"/>
      <c r="S481" s="11"/>
      <c r="T481" s="6"/>
      <c r="U481" s="28" t="str">
        <f>HYPERLINK("https://media.infra-m.ru/0765/0765905/cover/765905.jpg", "Обложка")</f>
        <v>Обложка</v>
      </c>
      <c r="V481" s="12"/>
      <c r="W481" s="8" t="s">
        <v>124</v>
      </c>
      <c r="X481" s="6"/>
      <c r="Y481" s="6"/>
      <c r="Z481" s="6"/>
      <c r="AA481" s="6" t="s">
        <v>88</v>
      </c>
    </row>
    <row r="482" spans="1:27" s="4" customFormat="1" ht="51.95" customHeight="1">
      <c r="A482" s="5">
        <v>0</v>
      </c>
      <c r="B482" s="6" t="s">
        <v>2761</v>
      </c>
      <c r="C482" s="13">
        <v>1264.9000000000001</v>
      </c>
      <c r="D482" s="8" t="s">
        <v>2762</v>
      </c>
      <c r="E482" s="8" t="s">
        <v>2763</v>
      </c>
      <c r="F482" s="8" t="s">
        <v>2764</v>
      </c>
      <c r="G482" s="6" t="s">
        <v>58</v>
      </c>
      <c r="H482" s="6" t="s">
        <v>84</v>
      </c>
      <c r="I482" s="8" t="s">
        <v>85</v>
      </c>
      <c r="J482" s="9">
        <v>1</v>
      </c>
      <c r="K482" s="9">
        <v>280</v>
      </c>
      <c r="L482" s="9">
        <v>2023</v>
      </c>
      <c r="M482" s="8" t="s">
        <v>2765</v>
      </c>
      <c r="N482" s="8" t="s">
        <v>40</v>
      </c>
      <c r="O482" s="8" t="s">
        <v>41</v>
      </c>
      <c r="P482" s="6" t="s">
        <v>42</v>
      </c>
      <c r="Q482" s="8" t="s">
        <v>43</v>
      </c>
      <c r="R482" s="10" t="s">
        <v>2766</v>
      </c>
      <c r="S482" s="11"/>
      <c r="T482" s="6"/>
      <c r="U482" s="28" t="str">
        <f>HYPERLINK("https://media.infra-m.ru/1976/1976147/cover/1976147.jpg", "Обложка")</f>
        <v>Обложка</v>
      </c>
      <c r="V482" s="28" t="str">
        <f>HYPERLINK("https://znanium.com/catalog/product/1018178", "Ознакомиться")</f>
        <v>Ознакомиться</v>
      </c>
      <c r="W482" s="8" t="s">
        <v>45</v>
      </c>
      <c r="X482" s="6"/>
      <c r="Y482" s="6"/>
      <c r="Z482" s="6"/>
      <c r="AA482" s="6" t="s">
        <v>79</v>
      </c>
    </row>
    <row r="483" spans="1:27" s="4" customFormat="1" ht="51.95" customHeight="1">
      <c r="A483" s="5">
        <v>0</v>
      </c>
      <c r="B483" s="6" t="s">
        <v>2767</v>
      </c>
      <c r="C483" s="13">
        <v>1124.9000000000001</v>
      </c>
      <c r="D483" s="8" t="s">
        <v>2768</v>
      </c>
      <c r="E483" s="8" t="s">
        <v>2769</v>
      </c>
      <c r="F483" s="8" t="s">
        <v>2770</v>
      </c>
      <c r="G483" s="6" t="s">
        <v>58</v>
      </c>
      <c r="H483" s="6" t="s">
        <v>38</v>
      </c>
      <c r="I483" s="8"/>
      <c r="J483" s="9">
        <v>1</v>
      </c>
      <c r="K483" s="9">
        <v>320</v>
      </c>
      <c r="L483" s="9">
        <v>2020</v>
      </c>
      <c r="M483" s="8" t="s">
        <v>2771</v>
      </c>
      <c r="N483" s="8" t="s">
        <v>40</v>
      </c>
      <c r="O483" s="8" t="s">
        <v>41</v>
      </c>
      <c r="P483" s="6" t="s">
        <v>42</v>
      </c>
      <c r="Q483" s="8" t="s">
        <v>43</v>
      </c>
      <c r="R483" s="10" t="s">
        <v>2766</v>
      </c>
      <c r="S483" s="11"/>
      <c r="T483" s="6"/>
      <c r="U483" s="28" t="str">
        <f>HYPERLINK("https://media.infra-m.ru/1091/1091375/cover/1091375.jpg", "Обложка")</f>
        <v>Обложка</v>
      </c>
      <c r="V483" s="28" t="str">
        <f>HYPERLINK("https://znanium.com/catalog/product/977659", "Ознакомиться")</f>
        <v>Ознакомиться</v>
      </c>
      <c r="W483" s="8" t="s">
        <v>2772</v>
      </c>
      <c r="X483" s="6"/>
      <c r="Y483" s="6"/>
      <c r="Z483" s="6"/>
      <c r="AA483" s="6" t="s">
        <v>46</v>
      </c>
    </row>
    <row r="484" spans="1:27" s="4" customFormat="1" ht="51.95" customHeight="1">
      <c r="A484" s="5">
        <v>0</v>
      </c>
      <c r="B484" s="6" t="s">
        <v>2773</v>
      </c>
      <c r="C484" s="7">
        <v>474.9</v>
      </c>
      <c r="D484" s="8" t="s">
        <v>2774</v>
      </c>
      <c r="E484" s="8" t="s">
        <v>2775</v>
      </c>
      <c r="F484" s="8" t="s">
        <v>2776</v>
      </c>
      <c r="G484" s="6" t="s">
        <v>51</v>
      </c>
      <c r="H484" s="6" t="s">
        <v>38</v>
      </c>
      <c r="I484" s="8"/>
      <c r="J484" s="9">
        <v>1</v>
      </c>
      <c r="K484" s="9">
        <v>92</v>
      </c>
      <c r="L484" s="9">
        <v>2023</v>
      </c>
      <c r="M484" s="8" t="s">
        <v>2777</v>
      </c>
      <c r="N484" s="8" t="s">
        <v>40</v>
      </c>
      <c r="O484" s="8" t="s">
        <v>41</v>
      </c>
      <c r="P484" s="6" t="s">
        <v>42</v>
      </c>
      <c r="Q484" s="8" t="s">
        <v>43</v>
      </c>
      <c r="R484" s="10" t="s">
        <v>931</v>
      </c>
      <c r="S484" s="11"/>
      <c r="T484" s="6"/>
      <c r="U484" s="28" t="str">
        <f>HYPERLINK("https://media.infra-m.ru/2020/2020518/cover/2020518.jpg", "Обложка")</f>
        <v>Обложка</v>
      </c>
      <c r="V484" s="28" t="str">
        <f>HYPERLINK("https://znanium.com/catalog/product/1856494", "Ознакомиться")</f>
        <v>Ознакомиться</v>
      </c>
      <c r="W484" s="8"/>
      <c r="X484" s="6"/>
      <c r="Y484" s="6"/>
      <c r="Z484" s="6"/>
      <c r="AA484" s="6" t="s">
        <v>343</v>
      </c>
    </row>
    <row r="485" spans="1:27" s="4" customFormat="1" ht="42" customHeight="1">
      <c r="A485" s="5">
        <v>0</v>
      </c>
      <c r="B485" s="6" t="s">
        <v>2778</v>
      </c>
      <c r="C485" s="7">
        <v>860</v>
      </c>
      <c r="D485" s="8" t="s">
        <v>2779</v>
      </c>
      <c r="E485" s="8" t="s">
        <v>2780</v>
      </c>
      <c r="F485" s="8" t="s">
        <v>2781</v>
      </c>
      <c r="G485" s="6" t="s">
        <v>37</v>
      </c>
      <c r="H485" s="6" t="s">
        <v>38</v>
      </c>
      <c r="I485" s="8"/>
      <c r="J485" s="9">
        <v>1</v>
      </c>
      <c r="K485" s="9">
        <v>184</v>
      </c>
      <c r="L485" s="9">
        <v>2023</v>
      </c>
      <c r="M485" s="8" t="s">
        <v>2782</v>
      </c>
      <c r="N485" s="8" t="s">
        <v>40</v>
      </c>
      <c r="O485" s="8" t="s">
        <v>41</v>
      </c>
      <c r="P485" s="6" t="s">
        <v>75</v>
      </c>
      <c r="Q485" s="8" t="s">
        <v>157</v>
      </c>
      <c r="R485" s="10" t="s">
        <v>340</v>
      </c>
      <c r="S485" s="11"/>
      <c r="T485" s="6"/>
      <c r="U485" s="28" t="str">
        <f>HYPERLINK("https://media.infra-m.ru/1971/1971867/cover/1971867.jpg", "Обложка")</f>
        <v>Обложка</v>
      </c>
      <c r="V485" s="28" t="str">
        <f>HYPERLINK("https://znanium.com/catalog/product/1971867", "Ознакомиться")</f>
        <v>Ознакомиться</v>
      </c>
      <c r="W485" s="8"/>
      <c r="X485" s="6"/>
      <c r="Y485" s="6"/>
      <c r="Z485" s="6"/>
      <c r="AA485" s="6" t="s">
        <v>343</v>
      </c>
    </row>
    <row r="486" spans="1:27" s="4" customFormat="1" ht="51.95" customHeight="1">
      <c r="A486" s="5">
        <v>0</v>
      </c>
      <c r="B486" s="6" t="s">
        <v>2783</v>
      </c>
      <c r="C486" s="7">
        <v>810</v>
      </c>
      <c r="D486" s="8" t="s">
        <v>2784</v>
      </c>
      <c r="E486" s="8" t="s">
        <v>2785</v>
      </c>
      <c r="F486" s="8" t="s">
        <v>2786</v>
      </c>
      <c r="G486" s="6" t="s">
        <v>37</v>
      </c>
      <c r="H486" s="6" t="s">
        <v>84</v>
      </c>
      <c r="I486" s="8" t="s">
        <v>85</v>
      </c>
      <c r="J486" s="9">
        <v>1</v>
      </c>
      <c r="K486" s="9">
        <v>237</v>
      </c>
      <c r="L486" s="9">
        <v>2020</v>
      </c>
      <c r="M486" s="8" t="s">
        <v>2787</v>
      </c>
      <c r="N486" s="8" t="s">
        <v>40</v>
      </c>
      <c r="O486" s="8" t="s">
        <v>41</v>
      </c>
      <c r="P486" s="6" t="s">
        <v>42</v>
      </c>
      <c r="Q486" s="8" t="s">
        <v>296</v>
      </c>
      <c r="R486" s="10" t="s">
        <v>2766</v>
      </c>
      <c r="S486" s="11" t="s">
        <v>2788</v>
      </c>
      <c r="T486" s="6"/>
      <c r="U486" s="28" t="str">
        <f>HYPERLINK("https://media.infra-m.ru/1036/1036534/cover/1036534.jpg", "Обложка")</f>
        <v>Обложка</v>
      </c>
      <c r="V486" s="28" t="str">
        <f>HYPERLINK("https://znanium.com/catalog/product/1036534", "Ознакомиться")</f>
        <v>Ознакомиться</v>
      </c>
      <c r="W486" s="8" t="s">
        <v>45</v>
      </c>
      <c r="X486" s="6"/>
      <c r="Y486" s="6"/>
      <c r="Z486" s="6"/>
      <c r="AA486" s="6" t="s">
        <v>298</v>
      </c>
    </row>
    <row r="487" spans="1:27" s="4" customFormat="1" ht="51.95" customHeight="1">
      <c r="A487" s="5">
        <v>0</v>
      </c>
      <c r="B487" s="6" t="s">
        <v>2789</v>
      </c>
      <c r="C487" s="13">
        <v>1550</v>
      </c>
      <c r="D487" s="8" t="s">
        <v>2790</v>
      </c>
      <c r="E487" s="8" t="s">
        <v>2791</v>
      </c>
      <c r="F487" s="8" t="s">
        <v>2792</v>
      </c>
      <c r="G487" s="6" t="s">
        <v>37</v>
      </c>
      <c r="H487" s="6" t="s">
        <v>38</v>
      </c>
      <c r="I487" s="8"/>
      <c r="J487" s="9">
        <v>1</v>
      </c>
      <c r="K487" s="9">
        <v>368</v>
      </c>
      <c r="L487" s="9">
        <v>2022</v>
      </c>
      <c r="M487" s="8" t="s">
        <v>2793</v>
      </c>
      <c r="N487" s="8" t="s">
        <v>40</v>
      </c>
      <c r="O487" s="8" t="s">
        <v>41</v>
      </c>
      <c r="P487" s="6" t="s">
        <v>42</v>
      </c>
      <c r="Q487" s="8" t="s">
        <v>43</v>
      </c>
      <c r="R487" s="10" t="s">
        <v>1875</v>
      </c>
      <c r="S487" s="11"/>
      <c r="T487" s="6"/>
      <c r="U487" s="28" t="str">
        <f>HYPERLINK("https://media.infra-m.ru/1877/1877342/cover/1877342.jpg", "Обложка")</f>
        <v>Обложка</v>
      </c>
      <c r="V487" s="28" t="str">
        <f>HYPERLINK("https://znanium.com/catalog/product/1877342", "Ознакомиться")</f>
        <v>Ознакомиться</v>
      </c>
      <c r="W487" s="8" t="s">
        <v>2794</v>
      </c>
      <c r="X487" s="6"/>
      <c r="Y487" s="6"/>
      <c r="Z487" s="6"/>
      <c r="AA487" s="6" t="s">
        <v>79</v>
      </c>
    </row>
    <row r="488" spans="1:27" s="4" customFormat="1" ht="51.95" customHeight="1">
      <c r="A488" s="5">
        <v>0</v>
      </c>
      <c r="B488" s="6" t="s">
        <v>2795</v>
      </c>
      <c r="C488" s="13">
        <v>1890</v>
      </c>
      <c r="D488" s="8" t="s">
        <v>2796</v>
      </c>
      <c r="E488" s="8" t="s">
        <v>2797</v>
      </c>
      <c r="F488" s="8" t="s">
        <v>57</v>
      </c>
      <c r="G488" s="6" t="s">
        <v>58</v>
      </c>
      <c r="H488" s="6" t="s">
        <v>38</v>
      </c>
      <c r="I488" s="8"/>
      <c r="J488" s="9">
        <v>1</v>
      </c>
      <c r="K488" s="9">
        <v>592</v>
      </c>
      <c r="L488" s="9">
        <v>2019</v>
      </c>
      <c r="M488" s="8" t="s">
        <v>2798</v>
      </c>
      <c r="N488" s="8" t="s">
        <v>40</v>
      </c>
      <c r="O488" s="8" t="s">
        <v>41</v>
      </c>
      <c r="P488" s="6" t="s">
        <v>42</v>
      </c>
      <c r="Q488" s="8" t="s">
        <v>43</v>
      </c>
      <c r="R488" s="10" t="s">
        <v>2766</v>
      </c>
      <c r="S488" s="11"/>
      <c r="T488" s="6"/>
      <c r="U488" s="28" t="str">
        <f>HYPERLINK("https://media.infra-m.ru/1020/1020329/cover/1020329.jpg", "Обложка")</f>
        <v>Обложка</v>
      </c>
      <c r="V488" s="28" t="str">
        <f>HYPERLINK("https://znanium.com/catalog/product/1020329", "Ознакомиться")</f>
        <v>Ознакомиться</v>
      </c>
      <c r="W488" s="8" t="s">
        <v>61</v>
      </c>
      <c r="X488" s="6"/>
      <c r="Y488" s="6"/>
      <c r="Z488" s="6"/>
      <c r="AA488" s="6" t="s">
        <v>148</v>
      </c>
    </row>
    <row r="489" spans="1:27" s="4" customFormat="1" ht="42" customHeight="1">
      <c r="A489" s="5">
        <v>0</v>
      </c>
      <c r="B489" s="6" t="s">
        <v>2799</v>
      </c>
      <c r="C489" s="13">
        <v>3135</v>
      </c>
      <c r="D489" s="8" t="s">
        <v>2800</v>
      </c>
      <c r="E489" s="8" t="s">
        <v>2801</v>
      </c>
      <c r="F489" s="8" t="s">
        <v>2802</v>
      </c>
      <c r="G489" s="6" t="s">
        <v>2803</v>
      </c>
      <c r="H489" s="6" t="s">
        <v>38</v>
      </c>
      <c r="I489" s="8"/>
      <c r="J489" s="9">
        <v>1</v>
      </c>
      <c r="K489" s="9">
        <v>1120</v>
      </c>
      <c r="L489" s="9">
        <v>2021</v>
      </c>
      <c r="M489" s="8" t="s">
        <v>2804</v>
      </c>
      <c r="N489" s="8" t="s">
        <v>40</v>
      </c>
      <c r="O489" s="8" t="s">
        <v>41</v>
      </c>
      <c r="P489" s="6" t="s">
        <v>2805</v>
      </c>
      <c r="Q489" s="8"/>
      <c r="R489" s="10" t="s">
        <v>1339</v>
      </c>
      <c r="S489" s="11"/>
      <c r="T489" s="6"/>
      <c r="U489" s="28" t="str">
        <f>HYPERLINK("https://media.infra-m.ru/1816/1816622/cover/1816622.jpg", "Обложка")</f>
        <v>Обложка</v>
      </c>
      <c r="V489" s="28" t="str">
        <f>HYPERLINK("https://znanium.com/catalog/product/1574609", "Ознакомиться")</f>
        <v>Ознакомиться</v>
      </c>
      <c r="W489" s="8"/>
      <c r="X489" s="6"/>
      <c r="Y489" s="6"/>
      <c r="Z489" s="6"/>
      <c r="AA489" s="6" t="s">
        <v>62</v>
      </c>
    </row>
    <row r="490" spans="1:27" s="4" customFormat="1" ht="51.95" customHeight="1">
      <c r="A490" s="5">
        <v>0</v>
      </c>
      <c r="B490" s="6" t="s">
        <v>2806</v>
      </c>
      <c r="C490" s="13">
        <v>4125</v>
      </c>
      <c r="D490" s="8" t="s">
        <v>2807</v>
      </c>
      <c r="E490" s="8" t="s">
        <v>2808</v>
      </c>
      <c r="F490" s="8" t="s">
        <v>2802</v>
      </c>
      <c r="G490" s="6" t="s">
        <v>2803</v>
      </c>
      <c r="H490" s="6" t="s">
        <v>38</v>
      </c>
      <c r="I490" s="8"/>
      <c r="J490" s="9">
        <v>1</v>
      </c>
      <c r="K490" s="9">
        <v>1168</v>
      </c>
      <c r="L490" s="9">
        <v>2022</v>
      </c>
      <c r="M490" s="8" t="s">
        <v>2809</v>
      </c>
      <c r="N490" s="8" t="s">
        <v>40</v>
      </c>
      <c r="O490" s="8" t="s">
        <v>41</v>
      </c>
      <c r="P490" s="6" t="s">
        <v>2805</v>
      </c>
      <c r="Q490" s="8" t="s">
        <v>43</v>
      </c>
      <c r="R490" s="10" t="s">
        <v>1612</v>
      </c>
      <c r="S490" s="11"/>
      <c r="T490" s="6"/>
      <c r="U490" s="28" t="str">
        <f>HYPERLINK("https://media.infra-m.ru/1894/1894390/cover/1894390.jpg", "Обложка")</f>
        <v>Обложка</v>
      </c>
      <c r="V490" s="12"/>
      <c r="W490" s="8" t="s">
        <v>659</v>
      </c>
      <c r="X490" s="6"/>
      <c r="Y490" s="6"/>
      <c r="Z490" s="6"/>
      <c r="AA490" s="6" t="s">
        <v>343</v>
      </c>
    </row>
    <row r="491" spans="1:27" s="4" customFormat="1" ht="51.95" customHeight="1">
      <c r="A491" s="5">
        <v>0</v>
      </c>
      <c r="B491" s="6" t="s">
        <v>2810</v>
      </c>
      <c r="C491" s="13">
        <v>4620</v>
      </c>
      <c r="D491" s="8" t="s">
        <v>2811</v>
      </c>
      <c r="E491" s="8" t="s">
        <v>2812</v>
      </c>
      <c r="F491" s="8"/>
      <c r="G491" s="6" t="s">
        <v>2803</v>
      </c>
      <c r="H491" s="6" t="s">
        <v>38</v>
      </c>
      <c r="I491" s="8"/>
      <c r="J491" s="9">
        <v>1</v>
      </c>
      <c r="K491" s="9">
        <v>1216</v>
      </c>
      <c r="L491" s="9">
        <v>2023</v>
      </c>
      <c r="M491" s="8" t="s">
        <v>2813</v>
      </c>
      <c r="N491" s="8" t="s">
        <v>40</v>
      </c>
      <c r="O491" s="8" t="s">
        <v>41</v>
      </c>
      <c r="P491" s="6" t="s">
        <v>2805</v>
      </c>
      <c r="Q491" s="8" t="s">
        <v>43</v>
      </c>
      <c r="R491" s="10" t="s">
        <v>2814</v>
      </c>
      <c r="S491" s="11"/>
      <c r="T491" s="6"/>
      <c r="U491" s="28" t="str">
        <f>HYPERLINK("https://media.infra-m.ru/2082/2082108/cover/2082108.jpg", "Обложка")</f>
        <v>Обложка</v>
      </c>
      <c r="V491" s="28" t="str">
        <f>HYPERLINK("https://znanium.com/catalog/product/2037405", "Ознакомиться")</f>
        <v>Ознакомиться</v>
      </c>
      <c r="W491" s="8"/>
      <c r="X491" s="6" t="s">
        <v>1024</v>
      </c>
      <c r="Y491" s="6"/>
      <c r="Z491" s="6"/>
      <c r="AA491" s="6" t="s">
        <v>408</v>
      </c>
    </row>
    <row r="492" spans="1:27" s="4" customFormat="1" ht="42" customHeight="1">
      <c r="A492" s="5">
        <v>0</v>
      </c>
      <c r="B492" s="6" t="s">
        <v>2815</v>
      </c>
      <c r="C492" s="7">
        <v>830</v>
      </c>
      <c r="D492" s="8" t="s">
        <v>2816</v>
      </c>
      <c r="E492" s="8" t="s">
        <v>2817</v>
      </c>
      <c r="F492" s="8" t="s">
        <v>2818</v>
      </c>
      <c r="G492" s="6" t="s">
        <v>51</v>
      </c>
      <c r="H492" s="6" t="s">
        <v>84</v>
      </c>
      <c r="I492" s="8" t="s">
        <v>251</v>
      </c>
      <c r="J492" s="9">
        <v>1</v>
      </c>
      <c r="K492" s="9">
        <v>184</v>
      </c>
      <c r="L492" s="9">
        <v>2023</v>
      </c>
      <c r="M492" s="8" t="s">
        <v>2819</v>
      </c>
      <c r="N492" s="8" t="s">
        <v>40</v>
      </c>
      <c r="O492" s="8" t="s">
        <v>41</v>
      </c>
      <c r="P492" s="6" t="s">
        <v>42</v>
      </c>
      <c r="Q492" s="8" t="s">
        <v>43</v>
      </c>
      <c r="R492" s="10" t="s">
        <v>310</v>
      </c>
      <c r="S492" s="11"/>
      <c r="T492" s="6"/>
      <c r="U492" s="28" t="str">
        <f>HYPERLINK("https://media.infra-m.ru/1905/1905648/cover/1905648.jpg", "Обложка")</f>
        <v>Обложка</v>
      </c>
      <c r="V492" s="28" t="str">
        <f>HYPERLINK("https://znanium.com/catalog/product/1905648", "Ознакомиться")</f>
        <v>Ознакомиться</v>
      </c>
      <c r="W492" s="8" t="s">
        <v>414</v>
      </c>
      <c r="X492" s="6"/>
      <c r="Y492" s="6"/>
      <c r="Z492" s="6"/>
      <c r="AA492" s="6" t="s">
        <v>79</v>
      </c>
    </row>
    <row r="493" spans="1:27" s="4" customFormat="1" ht="51.95" customHeight="1">
      <c r="A493" s="5">
        <v>0</v>
      </c>
      <c r="B493" s="6" t="s">
        <v>2820</v>
      </c>
      <c r="C493" s="7">
        <v>610</v>
      </c>
      <c r="D493" s="8" t="s">
        <v>2821</v>
      </c>
      <c r="E493" s="8" t="s">
        <v>2822</v>
      </c>
      <c r="F493" s="8" t="s">
        <v>2823</v>
      </c>
      <c r="G493" s="6" t="s">
        <v>51</v>
      </c>
      <c r="H493" s="6" t="s">
        <v>38</v>
      </c>
      <c r="I493" s="8"/>
      <c r="J493" s="9">
        <v>1</v>
      </c>
      <c r="K493" s="9">
        <v>160</v>
      </c>
      <c r="L493" s="9">
        <v>2022</v>
      </c>
      <c r="M493" s="8" t="s">
        <v>2824</v>
      </c>
      <c r="N493" s="8" t="s">
        <v>40</v>
      </c>
      <c r="O493" s="8" t="s">
        <v>41</v>
      </c>
      <c r="P493" s="6" t="s">
        <v>2566</v>
      </c>
      <c r="Q493" s="8" t="s">
        <v>76</v>
      </c>
      <c r="R493" s="10" t="s">
        <v>2678</v>
      </c>
      <c r="S493" s="11"/>
      <c r="T493" s="6"/>
      <c r="U493" s="28" t="str">
        <f>HYPERLINK("https://media.infra-m.ru/1084/1084369/cover/1084369.jpg", "Обложка")</f>
        <v>Обложка</v>
      </c>
      <c r="V493" s="28" t="str">
        <f>HYPERLINK("https://znanium.com/catalog/product/2089290", "Ознакомиться")</f>
        <v>Ознакомиться</v>
      </c>
      <c r="W493" s="8" t="s">
        <v>114</v>
      </c>
      <c r="X493" s="6"/>
      <c r="Y493" s="6"/>
      <c r="Z493" s="6"/>
      <c r="AA493" s="6" t="s">
        <v>148</v>
      </c>
    </row>
    <row r="494" spans="1:27" s="4" customFormat="1" ht="51.95" customHeight="1">
      <c r="A494" s="5">
        <v>0</v>
      </c>
      <c r="B494" s="6" t="s">
        <v>2825</v>
      </c>
      <c r="C494" s="7">
        <v>840</v>
      </c>
      <c r="D494" s="8" t="s">
        <v>2826</v>
      </c>
      <c r="E494" s="8" t="s">
        <v>2827</v>
      </c>
      <c r="F494" s="8" t="s">
        <v>2828</v>
      </c>
      <c r="G494" s="6" t="s">
        <v>58</v>
      </c>
      <c r="H494" s="6" t="s">
        <v>38</v>
      </c>
      <c r="I494" s="8"/>
      <c r="J494" s="9">
        <v>1</v>
      </c>
      <c r="K494" s="9">
        <v>176</v>
      </c>
      <c r="L494" s="9">
        <v>2024</v>
      </c>
      <c r="M494" s="8" t="s">
        <v>2829</v>
      </c>
      <c r="N494" s="8" t="s">
        <v>40</v>
      </c>
      <c r="O494" s="8" t="s">
        <v>41</v>
      </c>
      <c r="P494" s="6" t="s">
        <v>2566</v>
      </c>
      <c r="Q494" s="8" t="s">
        <v>76</v>
      </c>
      <c r="R494" s="10" t="s">
        <v>2678</v>
      </c>
      <c r="S494" s="11"/>
      <c r="T494" s="6"/>
      <c r="U494" s="28" t="str">
        <f>HYPERLINK("https://media.infra-m.ru/2089/2089290/cover/2089290.jpg", "Обложка")</f>
        <v>Обложка</v>
      </c>
      <c r="V494" s="28" t="str">
        <f>HYPERLINK("https://znanium.com/catalog/product/2089290", "Ознакомиться")</f>
        <v>Ознакомиться</v>
      </c>
      <c r="W494" s="8" t="s">
        <v>114</v>
      </c>
      <c r="X494" s="6" t="s">
        <v>381</v>
      </c>
      <c r="Y494" s="6"/>
      <c r="Z494" s="6"/>
      <c r="AA494" s="6" t="s">
        <v>382</v>
      </c>
    </row>
    <row r="495" spans="1:27" s="4" customFormat="1" ht="51.95" customHeight="1">
      <c r="A495" s="5">
        <v>0</v>
      </c>
      <c r="B495" s="6" t="s">
        <v>2830</v>
      </c>
      <c r="C495" s="7">
        <v>369.9</v>
      </c>
      <c r="D495" s="8" t="s">
        <v>2831</v>
      </c>
      <c r="E495" s="8" t="s">
        <v>2827</v>
      </c>
      <c r="F495" s="8" t="s">
        <v>2832</v>
      </c>
      <c r="G495" s="6"/>
      <c r="H495" s="6" t="s">
        <v>38</v>
      </c>
      <c r="I495" s="8"/>
      <c r="J495" s="9">
        <v>16</v>
      </c>
      <c r="K495" s="9">
        <v>352</v>
      </c>
      <c r="L495" s="9">
        <v>2015</v>
      </c>
      <c r="M495" s="8" t="s">
        <v>2833</v>
      </c>
      <c r="N495" s="8" t="s">
        <v>40</v>
      </c>
      <c r="O495" s="8" t="s">
        <v>41</v>
      </c>
      <c r="P495" s="6" t="s">
        <v>95</v>
      </c>
      <c r="Q495" s="8" t="s">
        <v>76</v>
      </c>
      <c r="R495" s="10" t="s">
        <v>2834</v>
      </c>
      <c r="S495" s="11" t="s">
        <v>2835</v>
      </c>
      <c r="T495" s="6"/>
      <c r="U495" s="28" t="str">
        <f>HYPERLINK("https://media.infra-m.ru/0486/0486113/cover/486113.jpg", "Обложка")</f>
        <v>Обложка</v>
      </c>
      <c r="V495" s="28" t="str">
        <f>HYPERLINK("https://znanium.com/catalog/product/1899698", "Ознакомиться")</f>
        <v>Ознакомиться</v>
      </c>
      <c r="W495" s="8" t="s">
        <v>124</v>
      </c>
      <c r="X495" s="6"/>
      <c r="Y495" s="6"/>
      <c r="Z495" s="6"/>
      <c r="AA495" s="6" t="s">
        <v>327</v>
      </c>
    </row>
    <row r="496" spans="1:27" s="4" customFormat="1" ht="51.95" customHeight="1">
      <c r="A496" s="5">
        <v>0</v>
      </c>
      <c r="B496" s="6" t="s">
        <v>2836</v>
      </c>
      <c r="C496" s="13">
        <v>1580</v>
      </c>
      <c r="D496" s="8" t="s">
        <v>2837</v>
      </c>
      <c r="E496" s="8" t="s">
        <v>2838</v>
      </c>
      <c r="F496" s="8" t="s">
        <v>2839</v>
      </c>
      <c r="G496" s="6" t="s">
        <v>58</v>
      </c>
      <c r="H496" s="6" t="s">
        <v>38</v>
      </c>
      <c r="I496" s="8"/>
      <c r="J496" s="9">
        <v>1</v>
      </c>
      <c r="K496" s="9">
        <v>336</v>
      </c>
      <c r="L496" s="9">
        <v>2024</v>
      </c>
      <c r="M496" s="8" t="s">
        <v>2840</v>
      </c>
      <c r="N496" s="8" t="s">
        <v>40</v>
      </c>
      <c r="O496" s="8" t="s">
        <v>41</v>
      </c>
      <c r="P496" s="6" t="s">
        <v>95</v>
      </c>
      <c r="Q496" s="8" t="s">
        <v>76</v>
      </c>
      <c r="R496" s="10" t="s">
        <v>2678</v>
      </c>
      <c r="S496" s="11"/>
      <c r="T496" s="6"/>
      <c r="U496" s="28" t="str">
        <f>HYPERLINK("https://media.infra-m.ru/2104/2104323/cover/2104323.jpg", "Обложка")</f>
        <v>Обложка</v>
      </c>
      <c r="V496" s="28" t="str">
        <f>HYPERLINK("https://znanium.com/catalog/product/2104323", "Ознакомиться")</f>
        <v>Ознакомиться</v>
      </c>
      <c r="W496" s="8" t="s">
        <v>114</v>
      </c>
      <c r="X496" s="6" t="s">
        <v>381</v>
      </c>
      <c r="Y496" s="6"/>
      <c r="Z496" s="6"/>
      <c r="AA496" s="6" t="s">
        <v>2841</v>
      </c>
    </row>
    <row r="497" spans="1:27" s="4" customFormat="1" ht="51.95" customHeight="1">
      <c r="A497" s="5">
        <v>0</v>
      </c>
      <c r="B497" s="6" t="s">
        <v>2842</v>
      </c>
      <c r="C497" s="13">
        <v>1300</v>
      </c>
      <c r="D497" s="8" t="s">
        <v>2843</v>
      </c>
      <c r="E497" s="8" t="s">
        <v>2838</v>
      </c>
      <c r="F497" s="8" t="s">
        <v>2844</v>
      </c>
      <c r="G497" s="6" t="s">
        <v>58</v>
      </c>
      <c r="H497" s="6" t="s">
        <v>38</v>
      </c>
      <c r="I497" s="8"/>
      <c r="J497" s="9">
        <v>1</v>
      </c>
      <c r="K497" s="9">
        <v>368</v>
      </c>
      <c r="L497" s="9">
        <v>2020</v>
      </c>
      <c r="M497" s="8" t="s">
        <v>2845</v>
      </c>
      <c r="N497" s="8" t="s">
        <v>40</v>
      </c>
      <c r="O497" s="8" t="s">
        <v>41</v>
      </c>
      <c r="P497" s="6" t="s">
        <v>95</v>
      </c>
      <c r="Q497" s="8" t="s">
        <v>76</v>
      </c>
      <c r="R497" s="10" t="s">
        <v>2834</v>
      </c>
      <c r="S497" s="11"/>
      <c r="T497" s="6"/>
      <c r="U497" s="28" t="str">
        <f>HYPERLINK("https://media.infra-m.ru/1088/1088332/cover/1088332.jpg", "Обложка")</f>
        <v>Обложка</v>
      </c>
      <c r="V497" s="28" t="str">
        <f>HYPERLINK("https://znanium.com/catalog/product/1899698", "Ознакомиться")</f>
        <v>Ознакомиться</v>
      </c>
      <c r="W497" s="8" t="s">
        <v>124</v>
      </c>
      <c r="X497" s="6"/>
      <c r="Y497" s="6"/>
      <c r="Z497" s="6"/>
      <c r="AA497" s="6" t="s">
        <v>209</v>
      </c>
    </row>
    <row r="498" spans="1:27" s="4" customFormat="1" ht="51.95" customHeight="1">
      <c r="A498" s="5">
        <v>0</v>
      </c>
      <c r="B498" s="6" t="s">
        <v>2846</v>
      </c>
      <c r="C498" s="13">
        <v>1770</v>
      </c>
      <c r="D498" s="8" t="s">
        <v>2847</v>
      </c>
      <c r="E498" s="8" t="s">
        <v>2848</v>
      </c>
      <c r="F498" s="8" t="s">
        <v>2844</v>
      </c>
      <c r="G498" s="6" t="s">
        <v>58</v>
      </c>
      <c r="H498" s="6" t="s">
        <v>38</v>
      </c>
      <c r="I498" s="8"/>
      <c r="J498" s="9">
        <v>1</v>
      </c>
      <c r="K498" s="9">
        <v>392</v>
      </c>
      <c r="L498" s="9">
        <v>2023</v>
      </c>
      <c r="M498" s="8" t="s">
        <v>2849</v>
      </c>
      <c r="N498" s="8" t="s">
        <v>40</v>
      </c>
      <c r="O498" s="8" t="s">
        <v>41</v>
      </c>
      <c r="P498" s="6" t="s">
        <v>95</v>
      </c>
      <c r="Q498" s="8" t="s">
        <v>76</v>
      </c>
      <c r="R498" s="10" t="s">
        <v>2834</v>
      </c>
      <c r="S498" s="11"/>
      <c r="T498" s="6"/>
      <c r="U498" s="28" t="str">
        <f>HYPERLINK("https://media.infra-m.ru/1899/1899698/cover/1899698.jpg", "Обложка")</f>
        <v>Обложка</v>
      </c>
      <c r="V498" s="28" t="str">
        <f>HYPERLINK("https://znanium.com/catalog/product/1899698", "Ознакомиться")</f>
        <v>Ознакомиться</v>
      </c>
      <c r="W498" s="8" t="s">
        <v>124</v>
      </c>
      <c r="X498" s="6"/>
      <c r="Y498" s="6"/>
      <c r="Z498" s="6"/>
      <c r="AA498" s="6" t="s">
        <v>646</v>
      </c>
    </row>
    <row r="499" spans="1:27" s="4" customFormat="1" ht="51.95" customHeight="1">
      <c r="A499" s="5">
        <v>0</v>
      </c>
      <c r="B499" s="6" t="s">
        <v>2850</v>
      </c>
      <c r="C499" s="7">
        <v>780</v>
      </c>
      <c r="D499" s="8" t="s">
        <v>2851</v>
      </c>
      <c r="E499" s="8" t="s">
        <v>2827</v>
      </c>
      <c r="F499" s="8" t="s">
        <v>2852</v>
      </c>
      <c r="G499" s="6" t="s">
        <v>58</v>
      </c>
      <c r="H499" s="6" t="s">
        <v>52</v>
      </c>
      <c r="I499" s="8" t="s">
        <v>2853</v>
      </c>
      <c r="J499" s="9">
        <v>1</v>
      </c>
      <c r="K499" s="9">
        <v>200</v>
      </c>
      <c r="L499" s="9">
        <v>2020</v>
      </c>
      <c r="M499" s="8" t="s">
        <v>2854</v>
      </c>
      <c r="N499" s="8" t="s">
        <v>40</v>
      </c>
      <c r="O499" s="8" t="s">
        <v>41</v>
      </c>
      <c r="P499" s="6" t="s">
        <v>75</v>
      </c>
      <c r="Q499" s="8" t="s">
        <v>76</v>
      </c>
      <c r="R499" s="10" t="s">
        <v>2678</v>
      </c>
      <c r="S499" s="11"/>
      <c r="T499" s="6"/>
      <c r="U499" s="28" t="str">
        <f>HYPERLINK("https://media.infra-m.ru/1080/1080283/cover/1080283.jpg", "Обложка")</f>
        <v>Обложка</v>
      </c>
      <c r="V499" s="28" t="str">
        <f>HYPERLINK("https://znanium.com/catalog/product/1080283", "Ознакомиться")</f>
        <v>Ознакомиться</v>
      </c>
      <c r="W499" s="8" t="s">
        <v>124</v>
      </c>
      <c r="X499" s="6"/>
      <c r="Y499" s="6"/>
      <c r="Z499" s="6"/>
      <c r="AA499" s="6" t="s">
        <v>171</v>
      </c>
    </row>
    <row r="500" spans="1:27" s="4" customFormat="1" ht="51.95" customHeight="1">
      <c r="A500" s="5">
        <v>0</v>
      </c>
      <c r="B500" s="6" t="s">
        <v>2855</v>
      </c>
      <c r="C500" s="7">
        <v>290</v>
      </c>
      <c r="D500" s="8" t="s">
        <v>2856</v>
      </c>
      <c r="E500" s="8" t="s">
        <v>2857</v>
      </c>
      <c r="F500" s="8"/>
      <c r="G500" s="6" t="s">
        <v>51</v>
      </c>
      <c r="H500" s="6" t="s">
        <v>84</v>
      </c>
      <c r="I500" s="8" t="s">
        <v>801</v>
      </c>
      <c r="J500" s="9">
        <v>1</v>
      </c>
      <c r="K500" s="9">
        <v>70</v>
      </c>
      <c r="L500" s="9">
        <v>2023</v>
      </c>
      <c r="M500" s="8" t="s">
        <v>2858</v>
      </c>
      <c r="N500" s="8" t="s">
        <v>40</v>
      </c>
      <c r="O500" s="8" t="s">
        <v>41</v>
      </c>
      <c r="P500" s="6" t="s">
        <v>803</v>
      </c>
      <c r="Q500" s="8" t="s">
        <v>1660</v>
      </c>
      <c r="R500" s="10" t="s">
        <v>2746</v>
      </c>
      <c r="S500" s="11"/>
      <c r="T500" s="6"/>
      <c r="U500" s="28" t="str">
        <f>HYPERLINK("https://media.infra-m.ru/1983/1983237/cover/1983237.jpg", "Обложка")</f>
        <v>Обложка</v>
      </c>
      <c r="V500" s="28" t="str">
        <f>HYPERLINK("https://znanium.com/catalog/product/1905985", "Ознакомиться")</f>
        <v>Ознакомиться</v>
      </c>
      <c r="W500" s="8"/>
      <c r="X500" s="6"/>
      <c r="Y500" s="6"/>
      <c r="Z500" s="6"/>
      <c r="AA500" s="6" t="s">
        <v>2859</v>
      </c>
    </row>
    <row r="501" spans="1:27" s="4" customFormat="1" ht="51.95" customHeight="1">
      <c r="A501" s="5">
        <v>0</v>
      </c>
      <c r="B501" s="6" t="s">
        <v>2860</v>
      </c>
      <c r="C501" s="7">
        <v>690</v>
      </c>
      <c r="D501" s="8" t="s">
        <v>2861</v>
      </c>
      <c r="E501" s="8" t="s">
        <v>2862</v>
      </c>
      <c r="F501" s="8" t="s">
        <v>799</v>
      </c>
      <c r="G501" s="6" t="s">
        <v>51</v>
      </c>
      <c r="H501" s="6" t="s">
        <v>84</v>
      </c>
      <c r="I501" s="8"/>
      <c r="J501" s="9">
        <v>1</v>
      </c>
      <c r="K501" s="9">
        <v>206</v>
      </c>
      <c r="L501" s="9">
        <v>2020</v>
      </c>
      <c r="M501" s="8" t="s">
        <v>2863</v>
      </c>
      <c r="N501" s="8" t="s">
        <v>40</v>
      </c>
      <c r="O501" s="8" t="s">
        <v>41</v>
      </c>
      <c r="P501" s="6" t="s">
        <v>68</v>
      </c>
      <c r="Q501" s="8" t="s">
        <v>43</v>
      </c>
      <c r="R501" s="10" t="s">
        <v>2746</v>
      </c>
      <c r="S501" s="11"/>
      <c r="T501" s="6"/>
      <c r="U501" s="28" t="str">
        <f>HYPERLINK("https://media.infra-m.ru/1063/1063459/cover/1063459.jpg", "Обложка")</f>
        <v>Обложка</v>
      </c>
      <c r="V501" s="28" t="str">
        <f>HYPERLINK("https://znanium.com/catalog/product/2083421", "Ознакомиться")</f>
        <v>Ознакомиться</v>
      </c>
      <c r="W501" s="8"/>
      <c r="X501" s="6"/>
      <c r="Y501" s="6"/>
      <c r="Z501" s="6"/>
      <c r="AA501" s="6" t="s">
        <v>2864</v>
      </c>
    </row>
    <row r="502" spans="1:27" s="4" customFormat="1" ht="51.95" customHeight="1">
      <c r="A502" s="5">
        <v>0</v>
      </c>
      <c r="B502" s="6" t="s">
        <v>2865</v>
      </c>
      <c r="C502" s="7">
        <v>970</v>
      </c>
      <c r="D502" s="8" t="s">
        <v>2866</v>
      </c>
      <c r="E502" s="8" t="s">
        <v>2867</v>
      </c>
      <c r="F502" s="8" t="s">
        <v>799</v>
      </c>
      <c r="G502" s="6" t="s">
        <v>51</v>
      </c>
      <c r="H502" s="6" t="s">
        <v>84</v>
      </c>
      <c r="I502" s="8" t="s">
        <v>801</v>
      </c>
      <c r="J502" s="9">
        <v>1</v>
      </c>
      <c r="K502" s="9">
        <v>256</v>
      </c>
      <c r="L502" s="9">
        <v>2022</v>
      </c>
      <c r="M502" s="8" t="s">
        <v>2868</v>
      </c>
      <c r="N502" s="8" t="s">
        <v>40</v>
      </c>
      <c r="O502" s="8" t="s">
        <v>41</v>
      </c>
      <c r="P502" s="6" t="s">
        <v>68</v>
      </c>
      <c r="Q502" s="8" t="s">
        <v>43</v>
      </c>
      <c r="R502" s="10" t="s">
        <v>2746</v>
      </c>
      <c r="S502" s="11"/>
      <c r="T502" s="6"/>
      <c r="U502" s="28" t="str">
        <f>HYPERLINK("https://media.infra-m.ru/1851/1851674/cover/1851674.jpg", "Обложка")</f>
        <v>Обложка</v>
      </c>
      <c r="V502" s="28" t="str">
        <f>HYPERLINK("https://znanium.com/catalog/product/2083421", "Ознакомиться")</f>
        <v>Ознакомиться</v>
      </c>
      <c r="W502" s="8"/>
      <c r="X502" s="6"/>
      <c r="Y502" s="6"/>
      <c r="Z502" s="6"/>
      <c r="AA502" s="6" t="s">
        <v>2409</v>
      </c>
    </row>
    <row r="503" spans="1:27" s="4" customFormat="1" ht="51.95" customHeight="1">
      <c r="A503" s="5">
        <v>0</v>
      </c>
      <c r="B503" s="6" t="s">
        <v>2869</v>
      </c>
      <c r="C503" s="13">
        <v>1210</v>
      </c>
      <c r="D503" s="8" t="s">
        <v>2870</v>
      </c>
      <c r="E503" s="8" t="s">
        <v>2871</v>
      </c>
      <c r="F503" s="8" t="s">
        <v>799</v>
      </c>
      <c r="G503" s="6" t="s">
        <v>51</v>
      </c>
      <c r="H503" s="6" t="s">
        <v>84</v>
      </c>
      <c r="I503" s="8" t="s">
        <v>801</v>
      </c>
      <c r="J503" s="9">
        <v>1</v>
      </c>
      <c r="K503" s="9">
        <v>256</v>
      </c>
      <c r="L503" s="9">
        <v>2024</v>
      </c>
      <c r="M503" s="8" t="s">
        <v>2872</v>
      </c>
      <c r="N503" s="8" t="s">
        <v>40</v>
      </c>
      <c r="O503" s="8" t="s">
        <v>41</v>
      </c>
      <c r="P503" s="6" t="s">
        <v>68</v>
      </c>
      <c r="Q503" s="8" t="s">
        <v>43</v>
      </c>
      <c r="R503" s="10" t="s">
        <v>2746</v>
      </c>
      <c r="S503" s="11"/>
      <c r="T503" s="6"/>
      <c r="U503" s="28" t="str">
        <f>HYPERLINK("https://media.infra-m.ru/2083/2083421/cover/2083421.jpg", "Обложка")</f>
        <v>Обложка</v>
      </c>
      <c r="V503" s="28" t="str">
        <f>HYPERLINK("https://znanium.com/catalog/product/2083421", "Ознакомиться")</f>
        <v>Ознакомиться</v>
      </c>
      <c r="W503" s="8"/>
      <c r="X503" s="6"/>
      <c r="Y503" s="6"/>
      <c r="Z503" s="6"/>
      <c r="AA503" s="6" t="s">
        <v>2873</v>
      </c>
    </row>
    <row r="504" spans="1:27" s="4" customFormat="1" ht="44.1" customHeight="1">
      <c r="A504" s="5">
        <v>0</v>
      </c>
      <c r="B504" s="6" t="s">
        <v>2874</v>
      </c>
      <c r="C504" s="7">
        <v>440</v>
      </c>
      <c r="D504" s="8" t="s">
        <v>2875</v>
      </c>
      <c r="E504" s="8" t="s">
        <v>2876</v>
      </c>
      <c r="F504" s="8" t="s">
        <v>799</v>
      </c>
      <c r="G504" s="6" t="s">
        <v>58</v>
      </c>
      <c r="H504" s="6" t="s">
        <v>38</v>
      </c>
      <c r="I504" s="8"/>
      <c r="J504" s="9">
        <v>1</v>
      </c>
      <c r="K504" s="9">
        <v>136</v>
      </c>
      <c r="L504" s="9">
        <v>2021</v>
      </c>
      <c r="M504" s="8" t="s">
        <v>2877</v>
      </c>
      <c r="N504" s="8" t="s">
        <v>40</v>
      </c>
      <c r="O504" s="8" t="s">
        <v>41</v>
      </c>
      <c r="P504" s="6" t="s">
        <v>803</v>
      </c>
      <c r="Q504" s="8" t="s">
        <v>680</v>
      </c>
      <c r="R504" s="10" t="s">
        <v>2878</v>
      </c>
      <c r="S504" s="11"/>
      <c r="T504" s="6"/>
      <c r="U504" s="28" t="str">
        <f>HYPERLINK("https://media.infra-m.ru/1239/1239242/cover/1239242.jpg", "Обложка")</f>
        <v>Обложка</v>
      </c>
      <c r="V504" s="28" t="str">
        <f>HYPERLINK("https://znanium.com/catalog/product/1852677", "Ознакомиться")</f>
        <v>Ознакомиться</v>
      </c>
      <c r="W504" s="8"/>
      <c r="X504" s="6"/>
      <c r="Y504" s="6"/>
      <c r="Z504" s="6"/>
      <c r="AA504" s="6" t="s">
        <v>62</v>
      </c>
    </row>
    <row r="505" spans="1:27" s="4" customFormat="1" ht="51.95" customHeight="1">
      <c r="A505" s="5">
        <v>0</v>
      </c>
      <c r="B505" s="6" t="s">
        <v>2879</v>
      </c>
      <c r="C505" s="7">
        <v>320</v>
      </c>
      <c r="D505" s="8" t="s">
        <v>2880</v>
      </c>
      <c r="E505" s="8" t="s">
        <v>2881</v>
      </c>
      <c r="F505" s="8" t="s">
        <v>799</v>
      </c>
      <c r="G505" s="6" t="s">
        <v>51</v>
      </c>
      <c r="H505" s="6" t="s">
        <v>38</v>
      </c>
      <c r="I505" s="8"/>
      <c r="J505" s="9">
        <v>1</v>
      </c>
      <c r="K505" s="9">
        <v>120</v>
      </c>
      <c r="L505" s="9">
        <v>2023</v>
      </c>
      <c r="M505" s="8" t="s">
        <v>2882</v>
      </c>
      <c r="N505" s="8" t="s">
        <v>40</v>
      </c>
      <c r="O505" s="8" t="s">
        <v>41</v>
      </c>
      <c r="P505" s="6" t="s">
        <v>803</v>
      </c>
      <c r="Q505" s="8" t="s">
        <v>1670</v>
      </c>
      <c r="R505" s="10" t="s">
        <v>2883</v>
      </c>
      <c r="S505" s="11"/>
      <c r="T505" s="6"/>
      <c r="U505" s="28" t="str">
        <f>HYPERLINK("https://media.infra-m.ru/1974/1974286/cover/1974286.jpg", "Обложка")</f>
        <v>Обложка</v>
      </c>
      <c r="V505" s="28" t="str">
        <f>HYPERLINK("https://znanium.com/catalog/product/1906531", "Ознакомиться")</f>
        <v>Ознакомиться</v>
      </c>
      <c r="W505" s="8"/>
      <c r="X505" s="6"/>
      <c r="Y505" s="6"/>
      <c r="Z505" s="6"/>
      <c r="AA505" s="6" t="s">
        <v>115</v>
      </c>
    </row>
    <row r="506" spans="1:27" s="4" customFormat="1" ht="51.95" customHeight="1">
      <c r="A506" s="5">
        <v>0</v>
      </c>
      <c r="B506" s="6" t="s">
        <v>2884</v>
      </c>
      <c r="C506" s="7">
        <v>484.9</v>
      </c>
      <c r="D506" s="8" t="s">
        <v>2885</v>
      </c>
      <c r="E506" s="8" t="s">
        <v>2886</v>
      </c>
      <c r="F506" s="8" t="s">
        <v>2887</v>
      </c>
      <c r="G506" s="6" t="s">
        <v>51</v>
      </c>
      <c r="H506" s="6" t="s">
        <v>38</v>
      </c>
      <c r="I506" s="8"/>
      <c r="J506" s="9">
        <v>1</v>
      </c>
      <c r="K506" s="9">
        <v>144</v>
      </c>
      <c r="L506" s="9">
        <v>2020</v>
      </c>
      <c r="M506" s="8" t="s">
        <v>2888</v>
      </c>
      <c r="N506" s="8" t="s">
        <v>40</v>
      </c>
      <c r="O506" s="8" t="s">
        <v>41</v>
      </c>
      <c r="P506" s="6" t="s">
        <v>95</v>
      </c>
      <c r="Q506" s="8" t="s">
        <v>76</v>
      </c>
      <c r="R506" s="10" t="s">
        <v>1476</v>
      </c>
      <c r="S506" s="11"/>
      <c r="T506" s="6"/>
      <c r="U506" s="28" t="str">
        <f>HYPERLINK("https://media.infra-m.ru/1052/1052220/cover/1052220.jpg", "Обложка")</f>
        <v>Обложка</v>
      </c>
      <c r="V506" s="28" t="str">
        <f>HYPERLINK("https://znanium.com/catalog/product/1052220", "Ознакомиться")</f>
        <v>Ознакомиться</v>
      </c>
      <c r="W506" s="8" t="s">
        <v>1032</v>
      </c>
      <c r="X506" s="6"/>
      <c r="Y506" s="6"/>
      <c r="Z506" s="6"/>
      <c r="AA506" s="6" t="s">
        <v>215</v>
      </c>
    </row>
    <row r="507" spans="1:27" s="4" customFormat="1" ht="51.95" customHeight="1">
      <c r="A507" s="5">
        <v>0</v>
      </c>
      <c r="B507" s="6" t="s">
        <v>2889</v>
      </c>
      <c r="C507" s="7">
        <v>750</v>
      </c>
      <c r="D507" s="8" t="s">
        <v>2890</v>
      </c>
      <c r="E507" s="8" t="s">
        <v>2891</v>
      </c>
      <c r="F507" s="8" t="s">
        <v>2892</v>
      </c>
      <c r="G507" s="6" t="s">
        <v>37</v>
      </c>
      <c r="H507" s="6" t="s">
        <v>84</v>
      </c>
      <c r="I507" s="8" t="s">
        <v>251</v>
      </c>
      <c r="J507" s="9">
        <v>1</v>
      </c>
      <c r="K507" s="9">
        <v>186</v>
      </c>
      <c r="L507" s="9">
        <v>2022</v>
      </c>
      <c r="M507" s="8" t="s">
        <v>2893</v>
      </c>
      <c r="N507" s="8" t="s">
        <v>40</v>
      </c>
      <c r="O507" s="8" t="s">
        <v>41</v>
      </c>
      <c r="P507" s="6" t="s">
        <v>42</v>
      </c>
      <c r="Q507" s="8" t="s">
        <v>43</v>
      </c>
      <c r="R507" s="10" t="s">
        <v>584</v>
      </c>
      <c r="S507" s="11"/>
      <c r="T507" s="6"/>
      <c r="U507" s="28" t="str">
        <f>HYPERLINK("https://media.infra-m.ru/1867/1867921/cover/1867921.jpg", "Обложка")</f>
        <v>Обложка</v>
      </c>
      <c r="V507" s="28" t="str">
        <f>HYPERLINK("https://znanium.com/catalog/product/1817755", "Ознакомиться")</f>
        <v>Ознакомиться</v>
      </c>
      <c r="W507" s="8" t="s">
        <v>1362</v>
      </c>
      <c r="X507" s="6"/>
      <c r="Y507" s="6"/>
      <c r="Z507" s="6"/>
      <c r="AA507" s="6" t="s">
        <v>343</v>
      </c>
    </row>
    <row r="508" spans="1:27" s="4" customFormat="1" ht="44.1" customHeight="1">
      <c r="A508" s="5">
        <v>0</v>
      </c>
      <c r="B508" s="6" t="s">
        <v>2894</v>
      </c>
      <c r="C508" s="13">
        <v>1010</v>
      </c>
      <c r="D508" s="8" t="s">
        <v>2895</v>
      </c>
      <c r="E508" s="8" t="s">
        <v>2896</v>
      </c>
      <c r="F508" s="8" t="s">
        <v>2897</v>
      </c>
      <c r="G508" s="6" t="s">
        <v>37</v>
      </c>
      <c r="H508" s="6" t="s">
        <v>84</v>
      </c>
      <c r="I508" s="8" t="s">
        <v>85</v>
      </c>
      <c r="J508" s="9">
        <v>1</v>
      </c>
      <c r="K508" s="9">
        <v>224</v>
      </c>
      <c r="L508" s="9">
        <v>2023</v>
      </c>
      <c r="M508" s="8" t="s">
        <v>2898</v>
      </c>
      <c r="N508" s="8" t="s">
        <v>40</v>
      </c>
      <c r="O508" s="8" t="s">
        <v>41</v>
      </c>
      <c r="P508" s="6" t="s">
        <v>811</v>
      </c>
      <c r="Q508" s="8" t="s">
        <v>43</v>
      </c>
      <c r="R508" s="10" t="s">
        <v>2899</v>
      </c>
      <c r="S508" s="11"/>
      <c r="T508" s="6"/>
      <c r="U508" s="28" t="str">
        <f>HYPERLINK("https://media.infra-m.ru/1908/1908840/cover/1908840.jpg", "Обложка")</f>
        <v>Обложка</v>
      </c>
      <c r="V508" s="28" t="str">
        <f>HYPERLINK("https://znanium.com/catalog/product/1908840", "Ознакомиться")</f>
        <v>Ознакомиться</v>
      </c>
      <c r="W508" s="8" t="s">
        <v>2900</v>
      </c>
      <c r="X508" s="6"/>
      <c r="Y508" s="6"/>
      <c r="Z508" s="6"/>
      <c r="AA508" s="6" t="s">
        <v>88</v>
      </c>
    </row>
    <row r="509" spans="1:27" s="4" customFormat="1" ht="51.95" customHeight="1">
      <c r="A509" s="5">
        <v>0</v>
      </c>
      <c r="B509" s="6" t="s">
        <v>2901</v>
      </c>
      <c r="C509" s="13">
        <v>1214.9000000000001</v>
      </c>
      <c r="D509" s="8" t="s">
        <v>2902</v>
      </c>
      <c r="E509" s="8" t="s">
        <v>2903</v>
      </c>
      <c r="F509" s="8" t="s">
        <v>2904</v>
      </c>
      <c r="G509" s="6" t="s">
        <v>51</v>
      </c>
      <c r="H509" s="6" t="s">
        <v>38</v>
      </c>
      <c r="I509" s="8"/>
      <c r="J509" s="9">
        <v>1</v>
      </c>
      <c r="K509" s="9">
        <v>288</v>
      </c>
      <c r="L509" s="9">
        <v>2022</v>
      </c>
      <c r="M509" s="8" t="s">
        <v>2905</v>
      </c>
      <c r="N509" s="8" t="s">
        <v>40</v>
      </c>
      <c r="O509" s="8" t="s">
        <v>41</v>
      </c>
      <c r="P509" s="6" t="s">
        <v>42</v>
      </c>
      <c r="Q509" s="8" t="s">
        <v>43</v>
      </c>
      <c r="R509" s="10" t="s">
        <v>584</v>
      </c>
      <c r="S509" s="11"/>
      <c r="T509" s="6"/>
      <c r="U509" s="28" t="str">
        <f>HYPERLINK("https://media.infra-m.ru/1870/1870576/cover/1870576.jpg", "Обложка")</f>
        <v>Обложка</v>
      </c>
      <c r="V509" s="28" t="str">
        <f>HYPERLINK("https://znanium.com/catalog/product/989362", "Ознакомиться")</f>
        <v>Ознакомиться</v>
      </c>
      <c r="W509" s="8" t="s">
        <v>114</v>
      </c>
      <c r="X509" s="6"/>
      <c r="Y509" s="6"/>
      <c r="Z509" s="6"/>
      <c r="AA509" s="6" t="s">
        <v>298</v>
      </c>
    </row>
    <row r="510" spans="1:27" s="4" customFormat="1" ht="51.95" customHeight="1">
      <c r="A510" s="5">
        <v>0</v>
      </c>
      <c r="B510" s="6" t="s">
        <v>2906</v>
      </c>
      <c r="C510" s="13">
        <v>1420</v>
      </c>
      <c r="D510" s="8" t="s">
        <v>2907</v>
      </c>
      <c r="E510" s="8" t="s">
        <v>2908</v>
      </c>
      <c r="F510" s="8" t="s">
        <v>2157</v>
      </c>
      <c r="G510" s="6" t="s">
        <v>37</v>
      </c>
      <c r="H510" s="6" t="s">
        <v>84</v>
      </c>
      <c r="I510" s="8" t="s">
        <v>316</v>
      </c>
      <c r="J510" s="9">
        <v>1</v>
      </c>
      <c r="K510" s="9">
        <v>316</v>
      </c>
      <c r="L510" s="9">
        <v>2023</v>
      </c>
      <c r="M510" s="8" t="s">
        <v>2909</v>
      </c>
      <c r="N510" s="8" t="s">
        <v>40</v>
      </c>
      <c r="O510" s="8" t="s">
        <v>41</v>
      </c>
      <c r="P510" s="6" t="s">
        <v>95</v>
      </c>
      <c r="Q510" s="8" t="s">
        <v>157</v>
      </c>
      <c r="R510" s="10" t="s">
        <v>2910</v>
      </c>
      <c r="S510" s="11" t="s">
        <v>2911</v>
      </c>
      <c r="T510" s="6" t="s">
        <v>368</v>
      </c>
      <c r="U510" s="28" t="str">
        <f>HYPERLINK("https://media.infra-m.ru/2002/2002653/cover/2002653.jpg", "Обложка")</f>
        <v>Обложка</v>
      </c>
      <c r="V510" s="28" t="str">
        <f>HYPERLINK("https://znanium.com/catalog/product/2002653", "Ознакомиться")</f>
        <v>Ознакомиться</v>
      </c>
      <c r="W510" s="8" t="s">
        <v>195</v>
      </c>
      <c r="X510" s="6"/>
      <c r="Y510" s="6"/>
      <c r="Z510" s="6"/>
      <c r="AA510" s="6" t="s">
        <v>62</v>
      </c>
    </row>
    <row r="511" spans="1:27" s="4" customFormat="1" ht="42" customHeight="1">
      <c r="A511" s="5">
        <v>0</v>
      </c>
      <c r="B511" s="6" t="s">
        <v>2912</v>
      </c>
      <c r="C511" s="7">
        <v>390</v>
      </c>
      <c r="D511" s="8" t="s">
        <v>2913</v>
      </c>
      <c r="E511" s="8" t="s">
        <v>2914</v>
      </c>
      <c r="F511" s="8" t="s">
        <v>2915</v>
      </c>
      <c r="G511" s="6" t="s">
        <v>51</v>
      </c>
      <c r="H511" s="6" t="s">
        <v>38</v>
      </c>
      <c r="I511" s="8"/>
      <c r="J511" s="9">
        <v>1</v>
      </c>
      <c r="K511" s="9">
        <v>80</v>
      </c>
      <c r="L511" s="9">
        <v>2023</v>
      </c>
      <c r="M511" s="8" t="s">
        <v>2916</v>
      </c>
      <c r="N511" s="8" t="s">
        <v>40</v>
      </c>
      <c r="O511" s="8" t="s">
        <v>41</v>
      </c>
      <c r="P511" s="6" t="s">
        <v>42</v>
      </c>
      <c r="Q511" s="8" t="s">
        <v>43</v>
      </c>
      <c r="R511" s="10" t="s">
        <v>304</v>
      </c>
      <c r="S511" s="11"/>
      <c r="T511" s="6"/>
      <c r="U511" s="28" t="str">
        <f>HYPERLINK("https://media.infra-m.ru/2041/2041652/cover/2041652.jpg", "Обложка")</f>
        <v>Обложка</v>
      </c>
      <c r="V511" s="28" t="str">
        <f>HYPERLINK("https://znanium.com/catalog/product/2041652", "Ознакомиться")</f>
        <v>Ознакомиться</v>
      </c>
      <c r="W511" s="8" t="s">
        <v>114</v>
      </c>
      <c r="X511" s="6"/>
      <c r="Y511" s="6"/>
      <c r="Z511" s="6"/>
      <c r="AA511" s="6" t="s">
        <v>298</v>
      </c>
    </row>
    <row r="512" spans="1:27" s="4" customFormat="1" ht="51.95" customHeight="1">
      <c r="A512" s="5">
        <v>0</v>
      </c>
      <c r="B512" s="6" t="s">
        <v>2917</v>
      </c>
      <c r="C512" s="13">
        <v>2799.9</v>
      </c>
      <c r="D512" s="8" t="s">
        <v>2918</v>
      </c>
      <c r="E512" s="8" t="s">
        <v>2919</v>
      </c>
      <c r="F512" s="8" t="s">
        <v>2920</v>
      </c>
      <c r="G512" s="6" t="s">
        <v>37</v>
      </c>
      <c r="H512" s="6" t="s">
        <v>38</v>
      </c>
      <c r="I512" s="8"/>
      <c r="J512" s="9">
        <v>1</v>
      </c>
      <c r="K512" s="9">
        <v>664</v>
      </c>
      <c r="L512" s="9">
        <v>2023</v>
      </c>
      <c r="M512" s="8" t="s">
        <v>2921</v>
      </c>
      <c r="N512" s="8" t="s">
        <v>40</v>
      </c>
      <c r="O512" s="8" t="s">
        <v>41</v>
      </c>
      <c r="P512" s="6" t="s">
        <v>42</v>
      </c>
      <c r="Q512" s="8" t="s">
        <v>43</v>
      </c>
      <c r="R512" s="10" t="s">
        <v>2922</v>
      </c>
      <c r="S512" s="11"/>
      <c r="T512" s="6"/>
      <c r="U512" s="28" t="str">
        <f>HYPERLINK("https://media.infra-m.ru/2018/2018254/cover/2018254.jpg", "Обложка")</f>
        <v>Обложка</v>
      </c>
      <c r="V512" s="28" t="str">
        <f>HYPERLINK("https://znanium.com/catalog/product/2018254", "Ознакомиться")</f>
        <v>Ознакомиться</v>
      </c>
      <c r="W512" s="8" t="s">
        <v>114</v>
      </c>
      <c r="X512" s="6"/>
      <c r="Y512" s="6"/>
      <c r="Z512" s="6"/>
      <c r="AA512" s="6" t="s">
        <v>343</v>
      </c>
    </row>
    <row r="513" spans="1:27" s="4" customFormat="1" ht="42" customHeight="1">
      <c r="A513" s="5">
        <v>0</v>
      </c>
      <c r="B513" s="6" t="s">
        <v>2923</v>
      </c>
      <c r="C513" s="13">
        <v>1130</v>
      </c>
      <c r="D513" s="8" t="s">
        <v>2924</v>
      </c>
      <c r="E513" s="8" t="s">
        <v>2925</v>
      </c>
      <c r="F513" s="8" t="s">
        <v>2926</v>
      </c>
      <c r="G513" s="6" t="s">
        <v>37</v>
      </c>
      <c r="H513" s="6" t="s">
        <v>38</v>
      </c>
      <c r="I513" s="8"/>
      <c r="J513" s="9">
        <v>1</v>
      </c>
      <c r="K513" s="9">
        <v>244</v>
      </c>
      <c r="L513" s="9">
        <v>2024</v>
      </c>
      <c r="M513" s="8" t="s">
        <v>2927</v>
      </c>
      <c r="N513" s="8" t="s">
        <v>40</v>
      </c>
      <c r="O513" s="8" t="s">
        <v>41</v>
      </c>
      <c r="P513" s="6" t="s">
        <v>42</v>
      </c>
      <c r="Q513" s="8" t="s">
        <v>43</v>
      </c>
      <c r="R513" s="10" t="s">
        <v>1339</v>
      </c>
      <c r="S513" s="11"/>
      <c r="T513" s="6"/>
      <c r="U513" s="28" t="str">
        <f>HYPERLINK("https://media.infra-m.ru/2084/2084664/cover/2084664.jpg", "Обложка")</f>
        <v>Обложка</v>
      </c>
      <c r="V513" s="28" t="str">
        <f>HYPERLINK("https://znanium.com/catalog/product/2084664", "Ознакомиться")</f>
        <v>Ознакомиться</v>
      </c>
      <c r="W513" s="8" t="s">
        <v>45</v>
      </c>
      <c r="X513" s="6"/>
      <c r="Y513" s="6"/>
      <c r="Z513" s="6"/>
      <c r="AA513" s="6" t="s">
        <v>62</v>
      </c>
    </row>
    <row r="514" spans="1:27" s="4" customFormat="1" ht="42" customHeight="1">
      <c r="A514" s="5">
        <v>0</v>
      </c>
      <c r="B514" s="6" t="s">
        <v>2928</v>
      </c>
      <c r="C514" s="13">
        <v>2554</v>
      </c>
      <c r="D514" s="8" t="s">
        <v>2929</v>
      </c>
      <c r="E514" s="8" t="s">
        <v>2930</v>
      </c>
      <c r="F514" s="8" t="s">
        <v>1684</v>
      </c>
      <c r="G514" s="6" t="s">
        <v>58</v>
      </c>
      <c r="H514" s="6" t="s">
        <v>84</v>
      </c>
      <c r="I514" s="8" t="s">
        <v>251</v>
      </c>
      <c r="J514" s="9">
        <v>1</v>
      </c>
      <c r="K514" s="9">
        <v>569</v>
      </c>
      <c r="L514" s="9">
        <v>2023</v>
      </c>
      <c r="M514" s="8" t="s">
        <v>2931</v>
      </c>
      <c r="N514" s="8" t="s">
        <v>40</v>
      </c>
      <c r="O514" s="8" t="s">
        <v>41</v>
      </c>
      <c r="P514" s="6" t="s">
        <v>42</v>
      </c>
      <c r="Q514" s="8" t="s">
        <v>43</v>
      </c>
      <c r="R514" s="10" t="s">
        <v>1339</v>
      </c>
      <c r="S514" s="11"/>
      <c r="T514" s="6"/>
      <c r="U514" s="28" t="str">
        <f>HYPERLINK("https://media.infra-m.ru/2006/2006944/cover/2006944.jpg", "Обложка")</f>
        <v>Обложка</v>
      </c>
      <c r="V514" s="28" t="str">
        <f>HYPERLINK("https://znanium.com/catalog/product/961836", "Ознакомиться")</f>
        <v>Ознакомиться</v>
      </c>
      <c r="W514" s="8" t="s">
        <v>1686</v>
      </c>
      <c r="X514" s="6"/>
      <c r="Y514" s="6"/>
      <c r="Z514" s="6"/>
      <c r="AA514" s="6" t="s">
        <v>46</v>
      </c>
    </row>
    <row r="515" spans="1:27" s="4" customFormat="1" ht="42" customHeight="1">
      <c r="A515" s="5">
        <v>0</v>
      </c>
      <c r="B515" s="6" t="s">
        <v>2932</v>
      </c>
      <c r="C515" s="13">
        <v>1050</v>
      </c>
      <c r="D515" s="8" t="s">
        <v>2933</v>
      </c>
      <c r="E515" s="8" t="s">
        <v>2934</v>
      </c>
      <c r="F515" s="8" t="s">
        <v>1684</v>
      </c>
      <c r="G515" s="6" t="s">
        <v>58</v>
      </c>
      <c r="H515" s="6" t="s">
        <v>84</v>
      </c>
      <c r="I515" s="8" t="s">
        <v>251</v>
      </c>
      <c r="J515" s="9">
        <v>1</v>
      </c>
      <c r="K515" s="9">
        <v>260</v>
      </c>
      <c r="L515" s="9">
        <v>2022</v>
      </c>
      <c r="M515" s="8" t="s">
        <v>2935</v>
      </c>
      <c r="N515" s="8" t="s">
        <v>40</v>
      </c>
      <c r="O515" s="8" t="s">
        <v>41</v>
      </c>
      <c r="P515" s="6" t="s">
        <v>42</v>
      </c>
      <c r="Q515" s="8" t="s">
        <v>43</v>
      </c>
      <c r="R515" s="10" t="s">
        <v>2936</v>
      </c>
      <c r="S515" s="11"/>
      <c r="T515" s="6"/>
      <c r="U515" s="28" t="str">
        <f>HYPERLINK("https://media.infra-m.ru/1836/1836239/cover/1836239.jpg", "Обложка")</f>
        <v>Обложка</v>
      </c>
      <c r="V515" s="28" t="str">
        <f>HYPERLINK("https://znanium.com/catalog/product/1836239", "Ознакомиться")</f>
        <v>Ознакомиться</v>
      </c>
      <c r="W515" s="8" t="s">
        <v>1686</v>
      </c>
      <c r="X515" s="6"/>
      <c r="Y515" s="6"/>
      <c r="Z515" s="6"/>
      <c r="AA515" s="6" t="s">
        <v>343</v>
      </c>
    </row>
    <row r="516" spans="1:27" s="4" customFormat="1" ht="51.95" customHeight="1">
      <c r="A516" s="5">
        <v>0</v>
      </c>
      <c r="B516" s="6" t="s">
        <v>2937</v>
      </c>
      <c r="C516" s="7">
        <v>770</v>
      </c>
      <c r="D516" s="8" t="s">
        <v>2938</v>
      </c>
      <c r="E516" s="8" t="s">
        <v>2939</v>
      </c>
      <c r="F516" s="8" t="s">
        <v>2940</v>
      </c>
      <c r="G516" s="6" t="s">
        <v>37</v>
      </c>
      <c r="H516" s="6" t="s">
        <v>84</v>
      </c>
      <c r="I516" s="8" t="s">
        <v>1214</v>
      </c>
      <c r="J516" s="9">
        <v>1</v>
      </c>
      <c r="K516" s="9">
        <v>160</v>
      </c>
      <c r="L516" s="9">
        <v>2023</v>
      </c>
      <c r="M516" s="8" t="s">
        <v>2941</v>
      </c>
      <c r="N516" s="8" t="s">
        <v>40</v>
      </c>
      <c r="O516" s="8" t="s">
        <v>41</v>
      </c>
      <c r="P516" s="6" t="s">
        <v>75</v>
      </c>
      <c r="Q516" s="8" t="s">
        <v>680</v>
      </c>
      <c r="R516" s="10" t="s">
        <v>168</v>
      </c>
      <c r="S516" s="11" t="s">
        <v>2942</v>
      </c>
      <c r="T516" s="6"/>
      <c r="U516" s="28" t="str">
        <f>HYPERLINK("https://media.infra-m.ru/2021/2021372/cover/2021372.jpg", "Обложка")</f>
        <v>Обложка</v>
      </c>
      <c r="V516" s="28" t="str">
        <f>HYPERLINK("https://znanium.com/catalog/product/1708338", "Ознакомиться")</f>
        <v>Ознакомиться</v>
      </c>
      <c r="W516" s="8" t="s">
        <v>334</v>
      </c>
      <c r="X516" s="6"/>
      <c r="Y516" s="6"/>
      <c r="Z516" s="6"/>
      <c r="AA516" s="6" t="s">
        <v>79</v>
      </c>
    </row>
    <row r="517" spans="1:27" s="4" customFormat="1" ht="51.95" customHeight="1">
      <c r="A517" s="5">
        <v>0</v>
      </c>
      <c r="B517" s="6" t="s">
        <v>2943</v>
      </c>
      <c r="C517" s="7">
        <v>700</v>
      </c>
      <c r="D517" s="8" t="s">
        <v>2944</v>
      </c>
      <c r="E517" s="8" t="s">
        <v>2945</v>
      </c>
      <c r="F517" s="8" t="s">
        <v>2946</v>
      </c>
      <c r="G517" s="6" t="s">
        <v>51</v>
      </c>
      <c r="H517" s="6" t="s">
        <v>84</v>
      </c>
      <c r="I517" s="8" t="s">
        <v>85</v>
      </c>
      <c r="J517" s="9">
        <v>1</v>
      </c>
      <c r="K517" s="9">
        <v>156</v>
      </c>
      <c r="L517" s="9">
        <v>2023</v>
      </c>
      <c r="M517" s="8" t="s">
        <v>2947</v>
      </c>
      <c r="N517" s="8" t="s">
        <v>40</v>
      </c>
      <c r="O517" s="8" t="s">
        <v>41</v>
      </c>
      <c r="P517" s="6" t="s">
        <v>2948</v>
      </c>
      <c r="Q517" s="8" t="s">
        <v>43</v>
      </c>
      <c r="R517" s="10" t="s">
        <v>2949</v>
      </c>
      <c r="S517" s="11"/>
      <c r="T517" s="6"/>
      <c r="U517" s="28" t="str">
        <f>HYPERLINK("https://media.infra-m.ru/2001/2001686/cover/2001686.jpg", "Обложка")</f>
        <v>Обложка</v>
      </c>
      <c r="V517" s="28" t="str">
        <f>HYPERLINK("https://znanium.com/catalog/product/2001686", "Ознакомиться")</f>
        <v>Ознакомиться</v>
      </c>
      <c r="W517" s="8" t="s">
        <v>195</v>
      </c>
      <c r="X517" s="6"/>
      <c r="Y517" s="6"/>
      <c r="Z517" s="6"/>
      <c r="AA517" s="6" t="s">
        <v>88</v>
      </c>
    </row>
    <row r="518" spans="1:27" s="4" customFormat="1" ht="51.95" customHeight="1">
      <c r="A518" s="5">
        <v>0</v>
      </c>
      <c r="B518" s="6" t="s">
        <v>2950</v>
      </c>
      <c r="C518" s="7">
        <v>790</v>
      </c>
      <c r="D518" s="8" t="s">
        <v>2951</v>
      </c>
      <c r="E518" s="8" t="s">
        <v>2952</v>
      </c>
      <c r="F518" s="8" t="s">
        <v>864</v>
      </c>
      <c r="G518" s="6" t="s">
        <v>37</v>
      </c>
      <c r="H518" s="6" t="s">
        <v>38</v>
      </c>
      <c r="I518" s="8"/>
      <c r="J518" s="9">
        <v>1</v>
      </c>
      <c r="K518" s="9">
        <v>168</v>
      </c>
      <c r="L518" s="9">
        <v>2023</v>
      </c>
      <c r="M518" s="8" t="s">
        <v>2953</v>
      </c>
      <c r="N518" s="8" t="s">
        <v>40</v>
      </c>
      <c r="O518" s="8" t="s">
        <v>41</v>
      </c>
      <c r="P518" s="6" t="s">
        <v>2498</v>
      </c>
      <c r="Q518" s="8" t="s">
        <v>43</v>
      </c>
      <c r="R518" s="10" t="s">
        <v>452</v>
      </c>
      <c r="S518" s="11"/>
      <c r="T518" s="6"/>
      <c r="U518" s="28" t="str">
        <f>HYPERLINK("https://media.infra-m.ru/1984/1984028/cover/1984028.jpg", "Обложка")</f>
        <v>Обложка</v>
      </c>
      <c r="V518" s="28" t="str">
        <f>HYPERLINK("https://znanium.com/catalog/product/1984028", "Ознакомиться")</f>
        <v>Ознакомиться</v>
      </c>
      <c r="W518" s="8" t="s">
        <v>78</v>
      </c>
      <c r="X518" s="6"/>
      <c r="Y518" s="6"/>
      <c r="Z518" s="6"/>
      <c r="AA518" s="6" t="s">
        <v>79</v>
      </c>
    </row>
    <row r="519" spans="1:27" s="4" customFormat="1" ht="44.1" customHeight="1">
      <c r="A519" s="5">
        <v>0</v>
      </c>
      <c r="B519" s="6" t="s">
        <v>2954</v>
      </c>
      <c r="C519" s="7">
        <v>549.9</v>
      </c>
      <c r="D519" s="8" t="s">
        <v>2955</v>
      </c>
      <c r="E519" s="8" t="s">
        <v>2956</v>
      </c>
      <c r="F519" s="8" t="s">
        <v>2957</v>
      </c>
      <c r="G519" s="6" t="s">
        <v>1726</v>
      </c>
      <c r="H519" s="6" t="s">
        <v>38</v>
      </c>
      <c r="I519" s="8"/>
      <c r="J519" s="9">
        <v>12</v>
      </c>
      <c r="K519" s="9">
        <v>320</v>
      </c>
      <c r="L519" s="9">
        <v>2015</v>
      </c>
      <c r="M519" s="8" t="s">
        <v>2958</v>
      </c>
      <c r="N519" s="8" t="s">
        <v>40</v>
      </c>
      <c r="O519" s="8" t="s">
        <v>41</v>
      </c>
      <c r="P519" s="6" t="s">
        <v>42</v>
      </c>
      <c r="Q519" s="8" t="s">
        <v>296</v>
      </c>
      <c r="R519" s="10" t="s">
        <v>310</v>
      </c>
      <c r="S519" s="11"/>
      <c r="T519" s="6"/>
      <c r="U519" s="28" t="str">
        <f>HYPERLINK("https://media.infra-m.ru/0509/0509223/cover/509223.jpg", "Обложка")</f>
        <v>Обложка</v>
      </c>
      <c r="V519" s="28" t="str">
        <f>HYPERLINK("https://znanium.com/catalog/product/405387", "Ознакомиться")</f>
        <v>Ознакомиться</v>
      </c>
      <c r="W519" s="8" t="s">
        <v>2959</v>
      </c>
      <c r="X519" s="6"/>
      <c r="Y519" s="6"/>
      <c r="Z519" s="6"/>
      <c r="AA519" s="6" t="s">
        <v>289</v>
      </c>
    </row>
    <row r="520" spans="1:27" s="4" customFormat="1" ht="42" customHeight="1">
      <c r="A520" s="5">
        <v>0</v>
      </c>
      <c r="B520" s="6" t="s">
        <v>2960</v>
      </c>
      <c r="C520" s="7">
        <v>504.9</v>
      </c>
      <c r="D520" s="8" t="s">
        <v>2961</v>
      </c>
      <c r="E520" s="8" t="s">
        <v>2962</v>
      </c>
      <c r="F520" s="8" t="s">
        <v>2963</v>
      </c>
      <c r="G520" s="6" t="s">
        <v>51</v>
      </c>
      <c r="H520" s="6" t="s">
        <v>84</v>
      </c>
      <c r="I520" s="8" t="s">
        <v>120</v>
      </c>
      <c r="J520" s="9">
        <v>1</v>
      </c>
      <c r="K520" s="9">
        <v>112</v>
      </c>
      <c r="L520" s="9">
        <v>2023</v>
      </c>
      <c r="M520" s="8" t="s">
        <v>2964</v>
      </c>
      <c r="N520" s="8" t="s">
        <v>40</v>
      </c>
      <c r="O520" s="8" t="s">
        <v>41</v>
      </c>
      <c r="P520" s="6" t="s">
        <v>1962</v>
      </c>
      <c r="Q520" s="8" t="s">
        <v>76</v>
      </c>
      <c r="R520" s="10" t="s">
        <v>310</v>
      </c>
      <c r="S520" s="11"/>
      <c r="T520" s="6"/>
      <c r="U520" s="28" t="str">
        <f>HYPERLINK("https://media.infra-m.ru/1981/1981712/cover/1981712.jpg", "Обложка")</f>
        <v>Обложка</v>
      </c>
      <c r="V520" s="28" t="str">
        <f>HYPERLINK("https://znanium.com/catalog/product/959966", "Ознакомиться")</f>
        <v>Ознакомиться</v>
      </c>
      <c r="W520" s="8" t="s">
        <v>770</v>
      </c>
      <c r="X520" s="6"/>
      <c r="Y520" s="6"/>
      <c r="Z520" s="6"/>
      <c r="AA520" s="6" t="s">
        <v>289</v>
      </c>
    </row>
    <row r="521" spans="1:27" s="4" customFormat="1" ht="42" customHeight="1">
      <c r="A521" s="5">
        <v>0</v>
      </c>
      <c r="B521" s="6" t="s">
        <v>2965</v>
      </c>
      <c r="C521" s="7">
        <v>884</v>
      </c>
      <c r="D521" s="8" t="s">
        <v>2966</v>
      </c>
      <c r="E521" s="8" t="s">
        <v>2967</v>
      </c>
      <c r="F521" s="8" t="s">
        <v>2968</v>
      </c>
      <c r="G521" s="6" t="s">
        <v>37</v>
      </c>
      <c r="H521" s="6" t="s">
        <v>84</v>
      </c>
      <c r="I521" s="8" t="s">
        <v>251</v>
      </c>
      <c r="J521" s="9">
        <v>1</v>
      </c>
      <c r="K521" s="9">
        <v>192</v>
      </c>
      <c r="L521" s="9">
        <v>2024</v>
      </c>
      <c r="M521" s="8" t="s">
        <v>2969</v>
      </c>
      <c r="N521" s="8" t="s">
        <v>40</v>
      </c>
      <c r="O521" s="8" t="s">
        <v>41</v>
      </c>
      <c r="P521" s="6" t="s">
        <v>42</v>
      </c>
      <c r="Q521" s="8" t="s">
        <v>43</v>
      </c>
      <c r="R521" s="10" t="s">
        <v>304</v>
      </c>
      <c r="S521" s="11"/>
      <c r="T521" s="6"/>
      <c r="U521" s="28" t="str">
        <f>HYPERLINK("https://media.infra-m.ru/2045/2045821/cover/2045821.jpg", "Обложка")</f>
        <v>Обложка</v>
      </c>
      <c r="V521" s="28" t="str">
        <f>HYPERLINK("https://znanium.com/catalog/product/1009577", "Ознакомиться")</f>
        <v>Ознакомиться</v>
      </c>
      <c r="W521" s="8" t="s">
        <v>430</v>
      </c>
      <c r="X521" s="6"/>
      <c r="Y521" s="6"/>
      <c r="Z521" s="6"/>
      <c r="AA521" s="6" t="s">
        <v>289</v>
      </c>
    </row>
    <row r="522" spans="1:27" s="4" customFormat="1" ht="51.95" customHeight="1">
      <c r="A522" s="5">
        <v>0</v>
      </c>
      <c r="B522" s="6" t="s">
        <v>2970</v>
      </c>
      <c r="C522" s="13">
        <v>1114</v>
      </c>
      <c r="D522" s="8" t="s">
        <v>2971</v>
      </c>
      <c r="E522" s="8" t="s">
        <v>2972</v>
      </c>
      <c r="F522" s="8" t="s">
        <v>2973</v>
      </c>
      <c r="G522" s="6" t="s">
        <v>51</v>
      </c>
      <c r="H522" s="6" t="s">
        <v>38</v>
      </c>
      <c r="I522" s="8" t="s">
        <v>2974</v>
      </c>
      <c r="J522" s="9">
        <v>1</v>
      </c>
      <c r="K522" s="9">
        <v>288</v>
      </c>
      <c r="L522" s="9">
        <v>2024</v>
      </c>
      <c r="M522" s="8" t="s">
        <v>2975</v>
      </c>
      <c r="N522" s="8" t="s">
        <v>40</v>
      </c>
      <c r="O522" s="8" t="s">
        <v>41</v>
      </c>
      <c r="P522" s="6" t="s">
        <v>75</v>
      </c>
      <c r="Q522" s="8" t="s">
        <v>76</v>
      </c>
      <c r="R522" s="10" t="s">
        <v>2448</v>
      </c>
      <c r="S522" s="11"/>
      <c r="T522" s="6"/>
      <c r="U522" s="28" t="str">
        <f>HYPERLINK("https://media.infra-m.ru/1990/1990116/cover/1990116.jpg", "Обложка")</f>
        <v>Обложка</v>
      </c>
      <c r="V522" s="28" t="str">
        <f>HYPERLINK("https://znanium.com/catalog/product/1088070", "Ознакомиться")</f>
        <v>Ознакомиться</v>
      </c>
      <c r="W522" s="8" t="s">
        <v>414</v>
      </c>
      <c r="X522" s="6"/>
      <c r="Y522" s="6"/>
      <c r="Z522" s="6"/>
      <c r="AA522" s="6" t="s">
        <v>2976</v>
      </c>
    </row>
    <row r="523" spans="1:27" s="4" customFormat="1" ht="42" customHeight="1">
      <c r="A523" s="5">
        <v>0</v>
      </c>
      <c r="B523" s="6" t="s">
        <v>2977</v>
      </c>
      <c r="C523" s="7">
        <v>874.9</v>
      </c>
      <c r="D523" s="8" t="s">
        <v>2978</v>
      </c>
      <c r="E523" s="8" t="s">
        <v>2979</v>
      </c>
      <c r="F523" s="8" t="s">
        <v>2980</v>
      </c>
      <c r="G523" s="6" t="s">
        <v>51</v>
      </c>
      <c r="H523" s="6" t="s">
        <v>38</v>
      </c>
      <c r="I523" s="8"/>
      <c r="J523" s="9">
        <v>1</v>
      </c>
      <c r="K523" s="9">
        <v>288</v>
      </c>
      <c r="L523" s="9">
        <v>2022</v>
      </c>
      <c r="M523" s="8" t="s">
        <v>2981</v>
      </c>
      <c r="N523" s="8" t="s">
        <v>40</v>
      </c>
      <c r="O523" s="8" t="s">
        <v>41</v>
      </c>
      <c r="P523" s="6" t="s">
        <v>42</v>
      </c>
      <c r="Q523" s="8" t="s">
        <v>43</v>
      </c>
      <c r="R523" s="10" t="s">
        <v>304</v>
      </c>
      <c r="S523" s="11"/>
      <c r="T523" s="6"/>
      <c r="U523" s="28" t="str">
        <f>HYPERLINK("https://media.infra-m.ru/1093/1093252/cover/1093252.jpg", "Обложка")</f>
        <v>Обложка</v>
      </c>
      <c r="V523" s="28" t="str">
        <f>HYPERLINK("https://znanium.com/catalog/product/1093252", "Ознакомиться")</f>
        <v>Ознакомиться</v>
      </c>
      <c r="W523" s="8" t="s">
        <v>414</v>
      </c>
      <c r="X523" s="6"/>
      <c r="Y523" s="6"/>
      <c r="Z523" s="6"/>
      <c r="AA523" s="6" t="s">
        <v>2982</v>
      </c>
    </row>
    <row r="524" spans="1:27" s="4" customFormat="1" ht="51.95" customHeight="1">
      <c r="A524" s="5">
        <v>0</v>
      </c>
      <c r="B524" s="6" t="s">
        <v>2983</v>
      </c>
      <c r="C524" s="13">
        <v>2070</v>
      </c>
      <c r="D524" s="8" t="s">
        <v>2984</v>
      </c>
      <c r="E524" s="8" t="s">
        <v>2985</v>
      </c>
      <c r="F524" s="8" t="s">
        <v>2986</v>
      </c>
      <c r="G524" s="6" t="s">
        <v>58</v>
      </c>
      <c r="H524" s="6" t="s">
        <v>84</v>
      </c>
      <c r="I524" s="8" t="s">
        <v>93</v>
      </c>
      <c r="J524" s="9">
        <v>1</v>
      </c>
      <c r="K524" s="9">
        <v>449</v>
      </c>
      <c r="L524" s="9">
        <v>2024</v>
      </c>
      <c r="M524" s="8" t="s">
        <v>2987</v>
      </c>
      <c r="N524" s="8" t="s">
        <v>40</v>
      </c>
      <c r="O524" s="8" t="s">
        <v>41</v>
      </c>
      <c r="P524" s="6" t="s">
        <v>95</v>
      </c>
      <c r="Q524" s="8" t="s">
        <v>96</v>
      </c>
      <c r="R524" s="10" t="s">
        <v>2988</v>
      </c>
      <c r="S524" s="11" t="s">
        <v>2989</v>
      </c>
      <c r="T524" s="6" t="s">
        <v>368</v>
      </c>
      <c r="U524" s="28" t="str">
        <f>HYPERLINK("https://media.infra-m.ru/1905/1905249/cover/1905249.jpg", "Обложка")</f>
        <v>Обложка</v>
      </c>
      <c r="V524" s="28" t="str">
        <f>HYPERLINK("https://znanium.com/catalog/product/1905249", "Ознакомиться")</f>
        <v>Ознакомиться</v>
      </c>
      <c r="W524" s="8" t="s">
        <v>503</v>
      </c>
      <c r="X524" s="6"/>
      <c r="Y524" s="6"/>
      <c r="Z524" s="6" t="s">
        <v>136</v>
      </c>
      <c r="AA524" s="6" t="s">
        <v>2431</v>
      </c>
    </row>
    <row r="525" spans="1:27" s="4" customFormat="1" ht="51.95" customHeight="1">
      <c r="A525" s="5">
        <v>0</v>
      </c>
      <c r="B525" s="6" t="s">
        <v>2990</v>
      </c>
      <c r="C525" s="13">
        <v>1994</v>
      </c>
      <c r="D525" s="8" t="s">
        <v>2991</v>
      </c>
      <c r="E525" s="8" t="s">
        <v>2985</v>
      </c>
      <c r="F525" s="8" t="s">
        <v>2992</v>
      </c>
      <c r="G525" s="6" t="s">
        <v>58</v>
      </c>
      <c r="H525" s="6" t="s">
        <v>84</v>
      </c>
      <c r="I525" s="8" t="s">
        <v>185</v>
      </c>
      <c r="J525" s="9">
        <v>1</v>
      </c>
      <c r="K525" s="9">
        <v>448</v>
      </c>
      <c r="L525" s="9">
        <v>2024</v>
      </c>
      <c r="M525" s="8" t="s">
        <v>2993</v>
      </c>
      <c r="N525" s="8" t="s">
        <v>40</v>
      </c>
      <c r="O525" s="8" t="s">
        <v>41</v>
      </c>
      <c r="P525" s="6" t="s">
        <v>95</v>
      </c>
      <c r="Q525" s="8" t="s">
        <v>76</v>
      </c>
      <c r="R525" s="10" t="s">
        <v>2994</v>
      </c>
      <c r="S525" s="11" t="s">
        <v>2995</v>
      </c>
      <c r="T525" s="6" t="s">
        <v>368</v>
      </c>
      <c r="U525" s="28" t="str">
        <f>HYPERLINK("https://media.infra-m.ru/2054/2054222/cover/2054222.jpg", "Обложка")</f>
        <v>Обложка</v>
      </c>
      <c r="V525" s="28" t="str">
        <f>HYPERLINK("https://znanium.com/catalog/product/1216932", "Ознакомиться")</f>
        <v>Ознакомиться</v>
      </c>
      <c r="W525" s="8" t="s">
        <v>503</v>
      </c>
      <c r="X525" s="6"/>
      <c r="Y525" s="6"/>
      <c r="Z525" s="6"/>
      <c r="AA525" s="6" t="s">
        <v>196</v>
      </c>
    </row>
    <row r="526" spans="1:27" s="4" customFormat="1" ht="51.95" customHeight="1">
      <c r="A526" s="5">
        <v>0</v>
      </c>
      <c r="B526" s="6" t="s">
        <v>2996</v>
      </c>
      <c r="C526" s="13">
        <v>2134</v>
      </c>
      <c r="D526" s="8" t="s">
        <v>2997</v>
      </c>
      <c r="E526" s="8" t="s">
        <v>2998</v>
      </c>
      <c r="F526" s="8" t="s">
        <v>1823</v>
      </c>
      <c r="G526" s="6" t="s">
        <v>37</v>
      </c>
      <c r="H526" s="6" t="s">
        <v>38</v>
      </c>
      <c r="I526" s="8" t="s">
        <v>93</v>
      </c>
      <c r="J526" s="9">
        <v>1</v>
      </c>
      <c r="K526" s="9">
        <v>464</v>
      </c>
      <c r="L526" s="9">
        <v>2023</v>
      </c>
      <c r="M526" s="8" t="s">
        <v>2999</v>
      </c>
      <c r="N526" s="8" t="s">
        <v>40</v>
      </c>
      <c r="O526" s="8" t="s">
        <v>41</v>
      </c>
      <c r="P526" s="6" t="s">
        <v>95</v>
      </c>
      <c r="Q526" s="8" t="s">
        <v>96</v>
      </c>
      <c r="R526" s="10" t="s">
        <v>2988</v>
      </c>
      <c r="S526" s="11" t="s">
        <v>3000</v>
      </c>
      <c r="T526" s="6"/>
      <c r="U526" s="28" t="str">
        <f>HYPERLINK("https://media.infra-m.ru/2075/2075180/cover/2075180.jpg", "Обложка")</f>
        <v>Обложка</v>
      </c>
      <c r="V526" s="28" t="str">
        <f>HYPERLINK("https://znanium.com/catalog/product/1444828", "Ознакомиться")</f>
        <v>Ознакомиться</v>
      </c>
      <c r="W526" s="8" t="s">
        <v>114</v>
      </c>
      <c r="X526" s="6"/>
      <c r="Y526" s="6"/>
      <c r="Z526" s="6" t="s">
        <v>136</v>
      </c>
      <c r="AA526" s="6" t="s">
        <v>46</v>
      </c>
    </row>
    <row r="527" spans="1:27" s="4" customFormat="1" ht="51.95" customHeight="1">
      <c r="A527" s="5">
        <v>0</v>
      </c>
      <c r="B527" s="6" t="s">
        <v>3001</v>
      </c>
      <c r="C527" s="13">
        <v>2084.9</v>
      </c>
      <c r="D527" s="8" t="s">
        <v>3002</v>
      </c>
      <c r="E527" s="8" t="s">
        <v>2998</v>
      </c>
      <c r="F527" s="8" t="s">
        <v>3003</v>
      </c>
      <c r="G527" s="6" t="s">
        <v>37</v>
      </c>
      <c r="H527" s="6" t="s">
        <v>38</v>
      </c>
      <c r="I527" s="8"/>
      <c r="J527" s="9">
        <v>1</v>
      </c>
      <c r="K527" s="9">
        <v>464</v>
      </c>
      <c r="L527" s="9">
        <v>2023</v>
      </c>
      <c r="M527" s="8" t="s">
        <v>3004</v>
      </c>
      <c r="N527" s="8" t="s">
        <v>40</v>
      </c>
      <c r="O527" s="8" t="s">
        <v>41</v>
      </c>
      <c r="P527" s="6" t="s">
        <v>95</v>
      </c>
      <c r="Q527" s="8" t="s">
        <v>76</v>
      </c>
      <c r="R527" s="10" t="s">
        <v>235</v>
      </c>
      <c r="S527" s="11" t="s">
        <v>3000</v>
      </c>
      <c r="T527" s="6"/>
      <c r="U527" s="28" t="str">
        <f>HYPERLINK("https://media.infra-m.ru/1913/1913612/cover/1913612.jpg", "Обложка")</f>
        <v>Обложка</v>
      </c>
      <c r="V527" s="28" t="str">
        <f>HYPERLINK("https://znanium.com/catalog/product/1843584", "Ознакомиться")</f>
        <v>Ознакомиться</v>
      </c>
      <c r="W527" s="8" t="s">
        <v>114</v>
      </c>
      <c r="X527" s="6"/>
      <c r="Y527" s="6"/>
      <c r="Z527" s="6"/>
      <c r="AA527" s="6" t="s">
        <v>415</v>
      </c>
    </row>
    <row r="528" spans="1:27" s="4" customFormat="1" ht="51.95" customHeight="1">
      <c r="A528" s="5">
        <v>0</v>
      </c>
      <c r="B528" s="6" t="s">
        <v>3005</v>
      </c>
      <c r="C528" s="13">
        <v>1810</v>
      </c>
      <c r="D528" s="8" t="s">
        <v>3006</v>
      </c>
      <c r="E528" s="8" t="s">
        <v>3007</v>
      </c>
      <c r="F528" s="8" t="s">
        <v>3008</v>
      </c>
      <c r="G528" s="6" t="s">
        <v>37</v>
      </c>
      <c r="H528" s="6" t="s">
        <v>38</v>
      </c>
      <c r="I528" s="8"/>
      <c r="J528" s="9">
        <v>1</v>
      </c>
      <c r="K528" s="9">
        <v>400</v>
      </c>
      <c r="L528" s="9">
        <v>2023</v>
      </c>
      <c r="M528" s="8" t="s">
        <v>3009</v>
      </c>
      <c r="N528" s="8" t="s">
        <v>40</v>
      </c>
      <c r="O528" s="8" t="s">
        <v>41</v>
      </c>
      <c r="P528" s="6" t="s">
        <v>95</v>
      </c>
      <c r="Q528" s="8" t="s">
        <v>76</v>
      </c>
      <c r="R528" s="10" t="s">
        <v>2448</v>
      </c>
      <c r="S528" s="11" t="s">
        <v>3010</v>
      </c>
      <c r="T528" s="6"/>
      <c r="U528" s="28" t="str">
        <f>HYPERLINK("https://media.infra-m.ru/1995/1995253/cover/1995253.jpg", "Обложка")</f>
        <v>Обложка</v>
      </c>
      <c r="V528" s="28" t="str">
        <f>HYPERLINK("https://znanium.com/catalog/product/1995253", "Ознакомиться")</f>
        <v>Ознакомиться</v>
      </c>
      <c r="W528" s="8" t="s">
        <v>414</v>
      </c>
      <c r="X528" s="6"/>
      <c r="Y528" s="6"/>
      <c r="Z528" s="6"/>
      <c r="AA528" s="6" t="s">
        <v>3011</v>
      </c>
    </row>
    <row r="529" spans="1:27" s="4" customFormat="1" ht="51.95" customHeight="1">
      <c r="A529" s="5">
        <v>0</v>
      </c>
      <c r="B529" s="6" t="s">
        <v>3012</v>
      </c>
      <c r="C529" s="13">
        <v>2700</v>
      </c>
      <c r="D529" s="8" t="s">
        <v>3013</v>
      </c>
      <c r="E529" s="8" t="s">
        <v>3014</v>
      </c>
      <c r="F529" s="8" t="s">
        <v>2973</v>
      </c>
      <c r="G529" s="6" t="s">
        <v>58</v>
      </c>
      <c r="H529" s="6" t="s">
        <v>38</v>
      </c>
      <c r="I529" s="8"/>
      <c r="J529" s="9">
        <v>1</v>
      </c>
      <c r="K529" s="9">
        <v>752</v>
      </c>
      <c r="L529" s="9">
        <v>2024</v>
      </c>
      <c r="M529" s="8" t="s">
        <v>3015</v>
      </c>
      <c r="N529" s="8" t="s">
        <v>40</v>
      </c>
      <c r="O529" s="8" t="s">
        <v>41</v>
      </c>
      <c r="P529" s="6" t="s">
        <v>95</v>
      </c>
      <c r="Q529" s="8" t="s">
        <v>76</v>
      </c>
      <c r="R529" s="10" t="s">
        <v>235</v>
      </c>
      <c r="S529" s="11" t="s">
        <v>2576</v>
      </c>
      <c r="T529" s="6"/>
      <c r="U529" s="28" t="str">
        <f>HYPERLINK("https://media.infra-m.ru/2110/2110065/cover/2110065.jpg", "Обложка")</f>
        <v>Обложка</v>
      </c>
      <c r="V529" s="28" t="str">
        <f>HYPERLINK("https://znanium.com/catalog/product/2110065", "Ознакомиться")</f>
        <v>Ознакомиться</v>
      </c>
      <c r="W529" s="8" t="s">
        <v>414</v>
      </c>
      <c r="X529" s="6"/>
      <c r="Y529" s="6"/>
      <c r="Z529" s="6"/>
      <c r="AA529" s="6" t="s">
        <v>1120</v>
      </c>
    </row>
    <row r="530" spans="1:27" s="4" customFormat="1" ht="51.95" customHeight="1">
      <c r="A530" s="5">
        <v>0</v>
      </c>
      <c r="B530" s="6" t="s">
        <v>3016</v>
      </c>
      <c r="C530" s="13">
        <v>3360</v>
      </c>
      <c r="D530" s="8" t="s">
        <v>3017</v>
      </c>
      <c r="E530" s="8" t="s">
        <v>3018</v>
      </c>
      <c r="F530" s="8" t="s">
        <v>3019</v>
      </c>
      <c r="G530" s="6" t="s">
        <v>58</v>
      </c>
      <c r="H530" s="6" t="s">
        <v>38</v>
      </c>
      <c r="I530" s="8"/>
      <c r="J530" s="9">
        <v>1</v>
      </c>
      <c r="K530" s="9">
        <v>928</v>
      </c>
      <c r="L530" s="9">
        <v>2024</v>
      </c>
      <c r="M530" s="8" t="s">
        <v>3020</v>
      </c>
      <c r="N530" s="8" t="s">
        <v>40</v>
      </c>
      <c r="O530" s="8" t="s">
        <v>41</v>
      </c>
      <c r="P530" s="6" t="s">
        <v>95</v>
      </c>
      <c r="Q530" s="8" t="s">
        <v>76</v>
      </c>
      <c r="R530" s="10" t="s">
        <v>77</v>
      </c>
      <c r="S530" s="11" t="s">
        <v>3021</v>
      </c>
      <c r="T530" s="6"/>
      <c r="U530" s="28" t="str">
        <f>HYPERLINK("https://media.infra-m.ru/2113/2113850/cover/2113850.jpg", "Обложка")</f>
        <v>Обложка</v>
      </c>
      <c r="V530" s="28" t="str">
        <f>HYPERLINK("https://znanium.com/catalog/product/1898960", "Ознакомиться")</f>
        <v>Ознакомиться</v>
      </c>
      <c r="W530" s="8" t="s">
        <v>712</v>
      </c>
      <c r="X530" s="6"/>
      <c r="Y530" s="6"/>
      <c r="Z530" s="6"/>
      <c r="AA530" s="6" t="s">
        <v>3022</v>
      </c>
    </row>
    <row r="531" spans="1:27" s="4" customFormat="1" ht="51.95" customHeight="1">
      <c r="A531" s="5">
        <v>0</v>
      </c>
      <c r="B531" s="6" t="s">
        <v>3023</v>
      </c>
      <c r="C531" s="7">
        <v>444.9</v>
      </c>
      <c r="D531" s="8" t="s">
        <v>3024</v>
      </c>
      <c r="E531" s="8" t="s">
        <v>3025</v>
      </c>
      <c r="F531" s="8" t="s">
        <v>2992</v>
      </c>
      <c r="G531" s="6" t="s">
        <v>51</v>
      </c>
      <c r="H531" s="6" t="s">
        <v>52</v>
      </c>
      <c r="I531" s="8" t="s">
        <v>3026</v>
      </c>
      <c r="J531" s="9">
        <v>1</v>
      </c>
      <c r="K531" s="9">
        <v>241</v>
      </c>
      <c r="L531" s="9">
        <v>2021</v>
      </c>
      <c r="M531" s="8" t="s">
        <v>3027</v>
      </c>
      <c r="N531" s="8" t="s">
        <v>40</v>
      </c>
      <c r="O531" s="8" t="s">
        <v>41</v>
      </c>
      <c r="P531" s="6" t="s">
        <v>75</v>
      </c>
      <c r="Q531" s="8" t="s">
        <v>76</v>
      </c>
      <c r="R531" s="10" t="s">
        <v>2994</v>
      </c>
      <c r="S531" s="11"/>
      <c r="T531" s="6"/>
      <c r="U531" s="28" t="str">
        <f>HYPERLINK("https://media.infra-m.ru/1740/1740253/cover/1740253.jpg", "Обложка")</f>
        <v>Обложка</v>
      </c>
      <c r="V531" s="28" t="str">
        <f>HYPERLINK("https://znanium.com/catalog/product/1740253", "Ознакомиться")</f>
        <v>Ознакомиться</v>
      </c>
      <c r="W531" s="8" t="s">
        <v>503</v>
      </c>
      <c r="X531" s="6"/>
      <c r="Y531" s="6"/>
      <c r="Z531" s="6"/>
      <c r="AA531" s="6" t="s">
        <v>3028</v>
      </c>
    </row>
    <row r="532" spans="1:27" s="4" customFormat="1" ht="51.95" customHeight="1">
      <c r="A532" s="5">
        <v>0</v>
      </c>
      <c r="B532" s="6" t="s">
        <v>3029</v>
      </c>
      <c r="C532" s="7">
        <v>600</v>
      </c>
      <c r="D532" s="8" t="s">
        <v>3030</v>
      </c>
      <c r="E532" s="8" t="s">
        <v>3031</v>
      </c>
      <c r="F532" s="8" t="s">
        <v>2992</v>
      </c>
      <c r="G532" s="6" t="s">
        <v>51</v>
      </c>
      <c r="H532" s="6" t="s">
        <v>52</v>
      </c>
      <c r="I532" s="8" t="s">
        <v>3026</v>
      </c>
      <c r="J532" s="9">
        <v>1</v>
      </c>
      <c r="K532" s="9">
        <v>242</v>
      </c>
      <c r="L532" s="9">
        <v>2022</v>
      </c>
      <c r="M532" s="8" t="s">
        <v>3032</v>
      </c>
      <c r="N532" s="8" t="s">
        <v>40</v>
      </c>
      <c r="O532" s="8" t="s">
        <v>41</v>
      </c>
      <c r="P532" s="6" t="s">
        <v>75</v>
      </c>
      <c r="Q532" s="8" t="s">
        <v>76</v>
      </c>
      <c r="R532" s="10" t="s">
        <v>2994</v>
      </c>
      <c r="S532" s="11"/>
      <c r="T532" s="6"/>
      <c r="U532" s="28" t="str">
        <f>HYPERLINK("https://media.infra-m.ru/1840/1840324/cover/1840324.jpg", "Обложка")</f>
        <v>Обложка</v>
      </c>
      <c r="V532" s="28" t="str">
        <f>HYPERLINK("https://znanium.com/catalog/product/1740253", "Ознакомиться")</f>
        <v>Ознакомиться</v>
      </c>
      <c r="W532" s="8" t="s">
        <v>503</v>
      </c>
      <c r="X532" s="6"/>
      <c r="Y532" s="6"/>
      <c r="Z532" s="6"/>
      <c r="AA532" s="6" t="s">
        <v>3033</v>
      </c>
    </row>
    <row r="533" spans="1:27" s="4" customFormat="1" ht="51.95" customHeight="1">
      <c r="A533" s="5">
        <v>0</v>
      </c>
      <c r="B533" s="6" t="s">
        <v>3034</v>
      </c>
      <c r="C533" s="7">
        <v>69.900000000000006</v>
      </c>
      <c r="D533" s="8" t="s">
        <v>3035</v>
      </c>
      <c r="E533" s="8" t="s">
        <v>2985</v>
      </c>
      <c r="F533" s="8"/>
      <c r="G533" s="6" t="s">
        <v>26</v>
      </c>
      <c r="H533" s="6" t="s">
        <v>52</v>
      </c>
      <c r="I533" s="8" t="s">
        <v>226</v>
      </c>
      <c r="J533" s="9">
        <v>80</v>
      </c>
      <c r="K533" s="9">
        <v>240</v>
      </c>
      <c r="L533" s="9">
        <v>2016</v>
      </c>
      <c r="M533" s="8" t="s">
        <v>3036</v>
      </c>
      <c r="N533" s="8" t="s">
        <v>40</v>
      </c>
      <c r="O533" s="8" t="s">
        <v>41</v>
      </c>
      <c r="P533" s="6" t="s">
        <v>228</v>
      </c>
      <c r="Q533" s="8" t="s">
        <v>76</v>
      </c>
      <c r="R533" s="10" t="s">
        <v>2448</v>
      </c>
      <c r="S533" s="11"/>
      <c r="T533" s="6"/>
      <c r="U533" s="28" t="str">
        <f>HYPERLINK("https://media.infra-m.ru/0522/0522350/cover/522350.jpg", "Обложка")</f>
        <v>Обложка</v>
      </c>
      <c r="V533" s="28" t="str">
        <f>HYPERLINK("https://znanium.com/catalog/product/522350", "Ознакомиться")</f>
        <v>Ознакомиться</v>
      </c>
      <c r="W533" s="8"/>
      <c r="X533" s="6"/>
      <c r="Y533" s="6"/>
      <c r="Z533" s="6"/>
      <c r="AA533" s="6" t="s">
        <v>559</v>
      </c>
    </row>
    <row r="534" spans="1:27" s="4" customFormat="1" ht="42" customHeight="1">
      <c r="A534" s="5">
        <v>0</v>
      </c>
      <c r="B534" s="6" t="s">
        <v>3037</v>
      </c>
      <c r="C534" s="7">
        <v>750</v>
      </c>
      <c r="D534" s="8" t="s">
        <v>3038</v>
      </c>
      <c r="E534" s="8" t="s">
        <v>3039</v>
      </c>
      <c r="F534" s="8" t="s">
        <v>2973</v>
      </c>
      <c r="G534" s="6" t="s">
        <v>37</v>
      </c>
      <c r="H534" s="6" t="s">
        <v>400</v>
      </c>
      <c r="I534" s="8"/>
      <c r="J534" s="9">
        <v>1</v>
      </c>
      <c r="K534" s="9">
        <v>192</v>
      </c>
      <c r="L534" s="9">
        <v>2022</v>
      </c>
      <c r="M534" s="8" t="s">
        <v>3040</v>
      </c>
      <c r="N534" s="8" t="s">
        <v>40</v>
      </c>
      <c r="O534" s="8" t="s">
        <v>41</v>
      </c>
      <c r="P534" s="6" t="s">
        <v>42</v>
      </c>
      <c r="Q534" s="8" t="s">
        <v>43</v>
      </c>
      <c r="R534" s="10" t="s">
        <v>113</v>
      </c>
      <c r="S534" s="11"/>
      <c r="T534" s="6"/>
      <c r="U534" s="28" t="str">
        <f>HYPERLINK("https://media.infra-m.ru/1862/1862613/cover/1862613.jpg", "Обложка")</f>
        <v>Обложка</v>
      </c>
      <c r="V534" s="28" t="str">
        <f>HYPERLINK("https://znanium.com/catalog/product/1862613", "Ознакомиться")</f>
        <v>Ознакомиться</v>
      </c>
      <c r="W534" s="8" t="s">
        <v>414</v>
      </c>
      <c r="X534" s="6"/>
      <c r="Y534" s="6"/>
      <c r="Z534" s="6"/>
      <c r="AA534" s="6" t="s">
        <v>88</v>
      </c>
    </row>
    <row r="535" spans="1:27" s="4" customFormat="1" ht="42" customHeight="1">
      <c r="A535" s="5">
        <v>0</v>
      </c>
      <c r="B535" s="6" t="s">
        <v>3041</v>
      </c>
      <c r="C535" s="13">
        <v>1350</v>
      </c>
      <c r="D535" s="8" t="s">
        <v>3042</v>
      </c>
      <c r="E535" s="8" t="s">
        <v>3043</v>
      </c>
      <c r="F535" s="8" t="s">
        <v>3044</v>
      </c>
      <c r="G535" s="6" t="s">
        <v>37</v>
      </c>
      <c r="H535" s="6" t="s">
        <v>84</v>
      </c>
      <c r="I535" s="8" t="s">
        <v>1525</v>
      </c>
      <c r="J535" s="9">
        <v>1</v>
      </c>
      <c r="K535" s="9">
        <v>311</v>
      </c>
      <c r="L535" s="9">
        <v>2023</v>
      </c>
      <c r="M535" s="8" t="s">
        <v>3045</v>
      </c>
      <c r="N535" s="8" t="s">
        <v>40</v>
      </c>
      <c r="O535" s="8" t="s">
        <v>41</v>
      </c>
      <c r="P535" s="6" t="s">
        <v>42</v>
      </c>
      <c r="Q535" s="8" t="s">
        <v>43</v>
      </c>
      <c r="R535" s="10" t="s">
        <v>1339</v>
      </c>
      <c r="S535" s="11"/>
      <c r="T535" s="6"/>
      <c r="U535" s="28" t="str">
        <f>HYPERLINK("https://media.infra-m.ru/1870/1870754/cover/1870754.jpg", "Обложка")</f>
        <v>Обложка</v>
      </c>
      <c r="V535" s="28" t="str">
        <f>HYPERLINK("https://znanium.com/catalog/product/1870754", "Ознакомиться")</f>
        <v>Ознакомиться</v>
      </c>
      <c r="W535" s="8" t="s">
        <v>1362</v>
      </c>
      <c r="X535" s="6"/>
      <c r="Y535" s="6"/>
      <c r="Z535" s="6"/>
      <c r="AA535" s="6" t="s">
        <v>311</v>
      </c>
    </row>
    <row r="536" spans="1:27" s="4" customFormat="1" ht="51.95" customHeight="1">
      <c r="A536" s="5">
        <v>0</v>
      </c>
      <c r="B536" s="6" t="s">
        <v>3046</v>
      </c>
      <c r="C536" s="13">
        <v>1390</v>
      </c>
      <c r="D536" s="8" t="s">
        <v>3047</v>
      </c>
      <c r="E536" s="8" t="s">
        <v>3048</v>
      </c>
      <c r="F536" s="8" t="s">
        <v>3049</v>
      </c>
      <c r="G536" s="6" t="s">
        <v>51</v>
      </c>
      <c r="H536" s="6" t="s">
        <v>38</v>
      </c>
      <c r="I536" s="8" t="s">
        <v>1087</v>
      </c>
      <c r="J536" s="9">
        <v>1</v>
      </c>
      <c r="K536" s="9">
        <v>368</v>
      </c>
      <c r="L536" s="9">
        <v>2023</v>
      </c>
      <c r="M536" s="8" t="s">
        <v>3050</v>
      </c>
      <c r="N536" s="8" t="s">
        <v>40</v>
      </c>
      <c r="O536" s="8" t="s">
        <v>41</v>
      </c>
      <c r="P536" s="6" t="s">
        <v>523</v>
      </c>
      <c r="Q536" s="8" t="s">
        <v>76</v>
      </c>
      <c r="R536" s="10" t="s">
        <v>235</v>
      </c>
      <c r="S536" s="11"/>
      <c r="T536" s="6"/>
      <c r="U536" s="28" t="str">
        <f>HYPERLINK("https://media.infra-m.ru/1866/1866947/cover/1866947.jpg", "Обложка")</f>
        <v>Обложка</v>
      </c>
      <c r="V536" s="28" t="str">
        <f>HYPERLINK("https://znanium.com/catalog/product/1866947", "Ознакомиться")</f>
        <v>Ознакомиться</v>
      </c>
      <c r="W536" s="8" t="s">
        <v>3051</v>
      </c>
      <c r="X536" s="6"/>
      <c r="Y536" s="6"/>
      <c r="Z536" s="6"/>
      <c r="AA536" s="6" t="s">
        <v>2582</v>
      </c>
    </row>
    <row r="537" spans="1:27" s="4" customFormat="1" ht="42" customHeight="1">
      <c r="A537" s="5">
        <v>0</v>
      </c>
      <c r="B537" s="6" t="s">
        <v>3052</v>
      </c>
      <c r="C537" s="7">
        <v>479.9</v>
      </c>
      <c r="D537" s="8" t="s">
        <v>3053</v>
      </c>
      <c r="E537" s="8" t="s">
        <v>3054</v>
      </c>
      <c r="F537" s="8" t="s">
        <v>3055</v>
      </c>
      <c r="G537" s="6" t="s">
        <v>58</v>
      </c>
      <c r="H537" s="6" t="s">
        <v>38</v>
      </c>
      <c r="I537" s="8"/>
      <c r="J537" s="9">
        <v>1</v>
      </c>
      <c r="K537" s="9">
        <v>128</v>
      </c>
      <c r="L537" s="9">
        <v>2021</v>
      </c>
      <c r="M537" s="8" t="s">
        <v>3056</v>
      </c>
      <c r="N537" s="8" t="s">
        <v>40</v>
      </c>
      <c r="O537" s="8" t="s">
        <v>41</v>
      </c>
      <c r="P537" s="6" t="s">
        <v>75</v>
      </c>
      <c r="Q537" s="8" t="s">
        <v>96</v>
      </c>
      <c r="R537" s="10" t="s">
        <v>181</v>
      </c>
      <c r="S537" s="11"/>
      <c r="T537" s="6"/>
      <c r="U537" s="28" t="str">
        <f>HYPERLINK("https://media.infra-m.ru/1390/1390783/cover/1390783.jpg", "Обложка")</f>
        <v>Обложка</v>
      </c>
      <c r="V537" s="28" t="str">
        <f>HYPERLINK("https://znanium.com/catalog/product/1390783", "Ознакомиться")</f>
        <v>Ознакомиться</v>
      </c>
      <c r="W537" s="8" t="s">
        <v>114</v>
      </c>
      <c r="X537" s="6"/>
      <c r="Y537" s="6"/>
      <c r="Z537" s="6" t="s">
        <v>136</v>
      </c>
      <c r="AA537" s="6" t="s">
        <v>62</v>
      </c>
    </row>
    <row r="538" spans="1:27" s="4" customFormat="1" ht="51.95" customHeight="1">
      <c r="A538" s="5">
        <v>0</v>
      </c>
      <c r="B538" s="6" t="s">
        <v>3057</v>
      </c>
      <c r="C538" s="7">
        <v>584</v>
      </c>
      <c r="D538" s="8" t="s">
        <v>3058</v>
      </c>
      <c r="E538" s="8" t="s">
        <v>3054</v>
      </c>
      <c r="F538" s="8" t="s">
        <v>3055</v>
      </c>
      <c r="G538" s="6" t="s">
        <v>51</v>
      </c>
      <c r="H538" s="6" t="s">
        <v>38</v>
      </c>
      <c r="I538" s="8"/>
      <c r="J538" s="9">
        <v>1</v>
      </c>
      <c r="K538" s="9">
        <v>128</v>
      </c>
      <c r="L538" s="9">
        <v>2024</v>
      </c>
      <c r="M538" s="8" t="s">
        <v>3059</v>
      </c>
      <c r="N538" s="8" t="s">
        <v>40</v>
      </c>
      <c r="O538" s="8" t="s">
        <v>41</v>
      </c>
      <c r="P538" s="6" t="s">
        <v>75</v>
      </c>
      <c r="Q538" s="8" t="s">
        <v>76</v>
      </c>
      <c r="R538" s="10" t="s">
        <v>235</v>
      </c>
      <c r="S538" s="11"/>
      <c r="T538" s="6"/>
      <c r="U538" s="28" t="str">
        <f>HYPERLINK("https://media.infra-m.ru/2113/2113852/cover/2113852.jpg", "Обложка")</f>
        <v>Обложка</v>
      </c>
      <c r="V538" s="28" t="str">
        <f>HYPERLINK("https://znanium.com/catalog/product/1764643", "Ознакомиться")</f>
        <v>Ознакомиться</v>
      </c>
      <c r="W538" s="8" t="s">
        <v>114</v>
      </c>
      <c r="X538" s="6"/>
      <c r="Y538" s="6"/>
      <c r="Z538" s="6"/>
      <c r="AA538" s="6" t="s">
        <v>148</v>
      </c>
    </row>
    <row r="539" spans="1:27" s="4" customFormat="1" ht="51.95" customHeight="1">
      <c r="A539" s="5">
        <v>0</v>
      </c>
      <c r="B539" s="6" t="s">
        <v>3060</v>
      </c>
      <c r="C539" s="7">
        <v>744</v>
      </c>
      <c r="D539" s="8" t="s">
        <v>3061</v>
      </c>
      <c r="E539" s="8" t="s">
        <v>3062</v>
      </c>
      <c r="F539" s="8" t="s">
        <v>3063</v>
      </c>
      <c r="G539" s="6" t="s">
        <v>51</v>
      </c>
      <c r="H539" s="6" t="s">
        <v>400</v>
      </c>
      <c r="I539" s="8"/>
      <c r="J539" s="9">
        <v>1</v>
      </c>
      <c r="K539" s="9">
        <v>192</v>
      </c>
      <c r="L539" s="9">
        <v>2024</v>
      </c>
      <c r="M539" s="8" t="s">
        <v>3064</v>
      </c>
      <c r="N539" s="8" t="s">
        <v>40</v>
      </c>
      <c r="O539" s="8" t="s">
        <v>41</v>
      </c>
      <c r="P539" s="6" t="s">
        <v>42</v>
      </c>
      <c r="Q539" s="8" t="s">
        <v>43</v>
      </c>
      <c r="R539" s="10" t="s">
        <v>122</v>
      </c>
      <c r="S539" s="11"/>
      <c r="T539" s="6"/>
      <c r="U539" s="28" t="str">
        <f>HYPERLINK("https://media.infra-m.ru/1913/1913787/cover/1913787.jpg", "Обложка")</f>
        <v>Обложка</v>
      </c>
      <c r="V539" s="12"/>
      <c r="W539" s="8" t="s">
        <v>1362</v>
      </c>
      <c r="X539" s="6"/>
      <c r="Y539" s="6"/>
      <c r="Z539" s="6"/>
      <c r="AA539" s="6" t="s">
        <v>2168</v>
      </c>
    </row>
    <row r="540" spans="1:27" s="4" customFormat="1" ht="42" customHeight="1">
      <c r="A540" s="5">
        <v>0</v>
      </c>
      <c r="B540" s="6" t="s">
        <v>3065</v>
      </c>
      <c r="C540" s="13">
        <v>1060</v>
      </c>
      <c r="D540" s="8" t="s">
        <v>3066</v>
      </c>
      <c r="E540" s="8" t="s">
        <v>3067</v>
      </c>
      <c r="F540" s="8" t="s">
        <v>3068</v>
      </c>
      <c r="G540" s="6" t="s">
        <v>58</v>
      </c>
      <c r="H540" s="6" t="s">
        <v>84</v>
      </c>
      <c r="I540" s="8" t="s">
        <v>93</v>
      </c>
      <c r="J540" s="9">
        <v>1</v>
      </c>
      <c r="K540" s="9">
        <v>222</v>
      </c>
      <c r="L540" s="9">
        <v>2024</v>
      </c>
      <c r="M540" s="8" t="s">
        <v>3069</v>
      </c>
      <c r="N540" s="8" t="s">
        <v>40</v>
      </c>
      <c r="O540" s="8" t="s">
        <v>41</v>
      </c>
      <c r="P540" s="6" t="s">
        <v>95</v>
      </c>
      <c r="Q540" s="8" t="s">
        <v>96</v>
      </c>
      <c r="R540" s="10" t="s">
        <v>2988</v>
      </c>
      <c r="S540" s="11"/>
      <c r="T540" s="6"/>
      <c r="U540" s="28" t="str">
        <f>HYPERLINK("https://media.infra-m.ru/1900/1900600/cover/1900600.jpg", "Обложка")</f>
        <v>Обложка</v>
      </c>
      <c r="V540" s="28" t="str">
        <f>HYPERLINK("https://znanium.com/catalog/product/1900600", "Ознакомиться")</f>
        <v>Ознакомиться</v>
      </c>
      <c r="W540" s="8" t="s">
        <v>2679</v>
      </c>
      <c r="X540" s="6" t="s">
        <v>99</v>
      </c>
      <c r="Y540" s="6"/>
      <c r="Z540" s="6"/>
      <c r="AA540" s="6" t="s">
        <v>100</v>
      </c>
    </row>
    <row r="541" spans="1:27" s="4" customFormat="1" ht="51.95" customHeight="1">
      <c r="A541" s="5">
        <v>0</v>
      </c>
      <c r="B541" s="6" t="s">
        <v>3070</v>
      </c>
      <c r="C541" s="13">
        <v>1590</v>
      </c>
      <c r="D541" s="8" t="s">
        <v>3071</v>
      </c>
      <c r="E541" s="8" t="s">
        <v>3072</v>
      </c>
      <c r="F541" s="8" t="s">
        <v>3073</v>
      </c>
      <c r="G541" s="6" t="s">
        <v>37</v>
      </c>
      <c r="H541" s="6" t="s">
        <v>38</v>
      </c>
      <c r="I541" s="8"/>
      <c r="J541" s="9">
        <v>1</v>
      </c>
      <c r="K541" s="9">
        <v>352</v>
      </c>
      <c r="L541" s="9">
        <v>2023</v>
      </c>
      <c r="M541" s="8" t="s">
        <v>3074</v>
      </c>
      <c r="N541" s="8" t="s">
        <v>40</v>
      </c>
      <c r="O541" s="8" t="s">
        <v>41</v>
      </c>
      <c r="P541" s="6" t="s">
        <v>95</v>
      </c>
      <c r="Q541" s="8" t="s">
        <v>157</v>
      </c>
      <c r="R541" s="10" t="s">
        <v>122</v>
      </c>
      <c r="S541" s="11"/>
      <c r="T541" s="6"/>
      <c r="U541" s="28" t="str">
        <f>HYPERLINK("https://media.infra-m.ru/1917/1917647/cover/1917647.jpg", "Обложка")</f>
        <v>Обложка</v>
      </c>
      <c r="V541" s="28" t="str">
        <f>HYPERLINK("https://znanium.com/catalog/product/1917647", "Ознакомиться")</f>
        <v>Ознакомиться</v>
      </c>
      <c r="W541" s="8" t="s">
        <v>1362</v>
      </c>
      <c r="X541" s="6"/>
      <c r="Y541" s="6"/>
      <c r="Z541" s="6"/>
      <c r="AA541" s="6" t="s">
        <v>46</v>
      </c>
    </row>
    <row r="542" spans="1:27" s="4" customFormat="1" ht="44.1" customHeight="1">
      <c r="A542" s="5">
        <v>0</v>
      </c>
      <c r="B542" s="6" t="s">
        <v>3075</v>
      </c>
      <c r="C542" s="13">
        <v>1830</v>
      </c>
      <c r="D542" s="8" t="s">
        <v>3076</v>
      </c>
      <c r="E542" s="8" t="s">
        <v>3077</v>
      </c>
      <c r="F542" s="8" t="s">
        <v>3078</v>
      </c>
      <c r="G542" s="6" t="s">
        <v>58</v>
      </c>
      <c r="H542" s="6" t="s">
        <v>84</v>
      </c>
      <c r="I542" s="8" t="s">
        <v>1140</v>
      </c>
      <c r="J542" s="9">
        <v>1</v>
      </c>
      <c r="K542" s="9">
        <v>390</v>
      </c>
      <c r="L542" s="9">
        <v>2023</v>
      </c>
      <c r="M542" s="8" t="s">
        <v>3079</v>
      </c>
      <c r="N542" s="8" t="s">
        <v>40</v>
      </c>
      <c r="O542" s="8" t="s">
        <v>41</v>
      </c>
      <c r="P542" s="6" t="s">
        <v>95</v>
      </c>
      <c r="Q542" s="8" t="s">
        <v>1199</v>
      </c>
      <c r="R542" s="10" t="s">
        <v>3080</v>
      </c>
      <c r="S542" s="11"/>
      <c r="T542" s="6"/>
      <c r="U542" s="28" t="str">
        <f>HYPERLINK("https://media.infra-m.ru/1899/1899602/cover/1899602.jpg", "Обложка")</f>
        <v>Обложка</v>
      </c>
      <c r="V542" s="28" t="str">
        <f>HYPERLINK("https://znanium.com/catalog/product/1899602", "Ознакомиться")</f>
        <v>Ознакомиться</v>
      </c>
      <c r="W542" s="8" t="s">
        <v>3081</v>
      </c>
      <c r="X542" s="6" t="s">
        <v>475</v>
      </c>
      <c r="Y542" s="6"/>
      <c r="Z542" s="6"/>
      <c r="AA542" s="6" t="s">
        <v>408</v>
      </c>
    </row>
    <row r="543" spans="1:27" s="4" customFormat="1" ht="51.95" customHeight="1">
      <c r="A543" s="5">
        <v>0</v>
      </c>
      <c r="B543" s="6" t="s">
        <v>3082</v>
      </c>
      <c r="C543" s="13">
        <v>1800</v>
      </c>
      <c r="D543" s="8" t="s">
        <v>3083</v>
      </c>
      <c r="E543" s="8" t="s">
        <v>3084</v>
      </c>
      <c r="F543" s="8" t="s">
        <v>3085</v>
      </c>
      <c r="G543" s="6" t="s">
        <v>37</v>
      </c>
      <c r="H543" s="6" t="s">
        <v>38</v>
      </c>
      <c r="I543" s="8"/>
      <c r="J543" s="9">
        <v>1</v>
      </c>
      <c r="K543" s="9">
        <v>400</v>
      </c>
      <c r="L543" s="9">
        <v>2023</v>
      </c>
      <c r="M543" s="8" t="s">
        <v>3086</v>
      </c>
      <c r="N543" s="8" t="s">
        <v>40</v>
      </c>
      <c r="O543" s="8" t="s">
        <v>41</v>
      </c>
      <c r="P543" s="6" t="s">
        <v>95</v>
      </c>
      <c r="Q543" s="8" t="s">
        <v>76</v>
      </c>
      <c r="R543" s="10" t="s">
        <v>235</v>
      </c>
      <c r="S543" s="11" t="s">
        <v>3087</v>
      </c>
      <c r="T543" s="6"/>
      <c r="U543" s="28" t="str">
        <f>HYPERLINK("https://media.infra-m.ru/1927/1927273/cover/1927273.jpg", "Обложка")</f>
        <v>Обложка</v>
      </c>
      <c r="V543" s="28" t="str">
        <f>HYPERLINK("https://znanium.com/catalog/product/1927273", "Ознакомиться")</f>
        <v>Ознакомиться</v>
      </c>
      <c r="W543" s="8" t="s">
        <v>3088</v>
      </c>
      <c r="X543" s="6"/>
      <c r="Y543" s="6"/>
      <c r="Z543" s="6"/>
      <c r="AA543" s="6" t="s">
        <v>635</v>
      </c>
    </row>
    <row r="544" spans="1:27" s="4" customFormat="1" ht="51.95" customHeight="1">
      <c r="A544" s="5">
        <v>0</v>
      </c>
      <c r="B544" s="6" t="s">
        <v>3089</v>
      </c>
      <c r="C544" s="13">
        <v>1840</v>
      </c>
      <c r="D544" s="8" t="s">
        <v>3090</v>
      </c>
      <c r="E544" s="8" t="s">
        <v>3091</v>
      </c>
      <c r="F544" s="8" t="s">
        <v>3092</v>
      </c>
      <c r="G544" s="6" t="s">
        <v>37</v>
      </c>
      <c r="H544" s="6" t="s">
        <v>38</v>
      </c>
      <c r="I544" s="8" t="s">
        <v>93</v>
      </c>
      <c r="J544" s="9">
        <v>1</v>
      </c>
      <c r="K544" s="9">
        <v>400</v>
      </c>
      <c r="L544" s="9">
        <v>2024</v>
      </c>
      <c r="M544" s="8" t="s">
        <v>3093</v>
      </c>
      <c r="N544" s="8" t="s">
        <v>40</v>
      </c>
      <c r="O544" s="8" t="s">
        <v>41</v>
      </c>
      <c r="P544" s="6" t="s">
        <v>95</v>
      </c>
      <c r="Q544" s="8" t="s">
        <v>96</v>
      </c>
      <c r="R544" s="10" t="s">
        <v>3094</v>
      </c>
      <c r="S544" s="11" t="s">
        <v>3087</v>
      </c>
      <c r="T544" s="6"/>
      <c r="U544" s="28" t="str">
        <f>HYPERLINK("https://media.infra-m.ru/2108/2108465/cover/2108465.jpg", "Обложка")</f>
        <v>Обложка</v>
      </c>
      <c r="V544" s="28" t="str">
        <f>HYPERLINK("https://znanium.com/catalog/product/2108465", "Ознакомиться")</f>
        <v>Ознакомиться</v>
      </c>
      <c r="W544" s="8" t="s">
        <v>3088</v>
      </c>
      <c r="X544" s="6"/>
      <c r="Y544" s="6"/>
      <c r="Z544" s="6" t="s">
        <v>136</v>
      </c>
      <c r="AA544" s="6" t="s">
        <v>46</v>
      </c>
    </row>
    <row r="545" spans="1:27" s="4" customFormat="1" ht="51.95" customHeight="1">
      <c r="A545" s="5">
        <v>0</v>
      </c>
      <c r="B545" s="6" t="s">
        <v>3095</v>
      </c>
      <c r="C545" s="13">
        <v>2244</v>
      </c>
      <c r="D545" s="8" t="s">
        <v>3096</v>
      </c>
      <c r="E545" s="8" t="s">
        <v>3097</v>
      </c>
      <c r="F545" s="8" t="s">
        <v>3098</v>
      </c>
      <c r="G545" s="6" t="s">
        <v>58</v>
      </c>
      <c r="H545" s="6" t="s">
        <v>38</v>
      </c>
      <c r="I545" s="8"/>
      <c r="J545" s="9">
        <v>1</v>
      </c>
      <c r="K545" s="9">
        <v>800</v>
      </c>
      <c r="L545" s="9">
        <v>2024</v>
      </c>
      <c r="M545" s="8" t="s">
        <v>3099</v>
      </c>
      <c r="N545" s="8" t="s">
        <v>40</v>
      </c>
      <c r="O545" s="8" t="s">
        <v>41</v>
      </c>
      <c r="P545" s="6" t="s">
        <v>95</v>
      </c>
      <c r="Q545" s="8" t="s">
        <v>76</v>
      </c>
      <c r="R545" s="10" t="s">
        <v>3100</v>
      </c>
      <c r="S545" s="11" t="s">
        <v>3101</v>
      </c>
      <c r="T545" s="6"/>
      <c r="U545" s="28" t="str">
        <f>HYPERLINK("https://media.infra-m.ru/2089/2089363/cover/2089363.jpg", "Обложка")</f>
        <v>Обложка</v>
      </c>
      <c r="V545" s="28" t="str">
        <f>HYPERLINK("https://znanium.com/catalog/product/1052213", "Ознакомиться")</f>
        <v>Ознакомиться</v>
      </c>
      <c r="W545" s="8" t="s">
        <v>114</v>
      </c>
      <c r="X545" s="6"/>
      <c r="Y545" s="6"/>
      <c r="Z545" s="6"/>
      <c r="AA545" s="6" t="s">
        <v>3102</v>
      </c>
    </row>
    <row r="546" spans="1:27" s="4" customFormat="1" ht="51.95" customHeight="1">
      <c r="A546" s="5">
        <v>0</v>
      </c>
      <c r="B546" s="6" t="s">
        <v>3103</v>
      </c>
      <c r="C546" s="13">
        <v>1550</v>
      </c>
      <c r="D546" s="8" t="s">
        <v>3104</v>
      </c>
      <c r="E546" s="8" t="s">
        <v>3091</v>
      </c>
      <c r="F546" s="8" t="s">
        <v>3105</v>
      </c>
      <c r="G546" s="6" t="s">
        <v>37</v>
      </c>
      <c r="H546" s="6" t="s">
        <v>38</v>
      </c>
      <c r="I546" s="8"/>
      <c r="J546" s="9">
        <v>1</v>
      </c>
      <c r="K546" s="9">
        <v>368</v>
      </c>
      <c r="L546" s="9">
        <v>2022</v>
      </c>
      <c r="M546" s="8" t="s">
        <v>3106</v>
      </c>
      <c r="N546" s="8" t="s">
        <v>40</v>
      </c>
      <c r="O546" s="8" t="s">
        <v>41</v>
      </c>
      <c r="P546" s="6" t="s">
        <v>95</v>
      </c>
      <c r="Q546" s="8" t="s">
        <v>2084</v>
      </c>
      <c r="R546" s="10" t="s">
        <v>3107</v>
      </c>
      <c r="S546" s="11"/>
      <c r="T546" s="6" t="s">
        <v>368</v>
      </c>
      <c r="U546" s="28" t="str">
        <f>HYPERLINK("https://media.infra-m.ru/1877/1877345/cover/1877345.jpg", "Обложка")</f>
        <v>Обложка</v>
      </c>
      <c r="V546" s="28" t="str">
        <f>HYPERLINK("https://znanium.com/catalog/product/1877345", "Ознакомиться")</f>
        <v>Ознакомиться</v>
      </c>
      <c r="W546" s="8" t="s">
        <v>114</v>
      </c>
      <c r="X546" s="6"/>
      <c r="Y546" s="6"/>
      <c r="Z546" s="6"/>
      <c r="AA546" s="6" t="s">
        <v>148</v>
      </c>
    </row>
    <row r="547" spans="1:27" s="4" customFormat="1" ht="51.95" customHeight="1">
      <c r="A547" s="5">
        <v>0</v>
      </c>
      <c r="B547" s="6" t="s">
        <v>3108</v>
      </c>
      <c r="C547" s="13">
        <v>1994.9</v>
      </c>
      <c r="D547" s="8" t="s">
        <v>3109</v>
      </c>
      <c r="E547" s="8" t="s">
        <v>3048</v>
      </c>
      <c r="F547" s="8" t="s">
        <v>3110</v>
      </c>
      <c r="G547" s="6" t="s">
        <v>58</v>
      </c>
      <c r="H547" s="6" t="s">
        <v>38</v>
      </c>
      <c r="I547" s="8"/>
      <c r="J547" s="9">
        <v>1</v>
      </c>
      <c r="K547" s="9">
        <v>1008</v>
      </c>
      <c r="L547" s="9">
        <v>2023</v>
      </c>
      <c r="M547" s="8" t="s">
        <v>3111</v>
      </c>
      <c r="N547" s="8" t="s">
        <v>40</v>
      </c>
      <c r="O547" s="8" t="s">
        <v>41</v>
      </c>
      <c r="P547" s="6" t="s">
        <v>95</v>
      </c>
      <c r="Q547" s="8" t="s">
        <v>76</v>
      </c>
      <c r="R547" s="10" t="s">
        <v>77</v>
      </c>
      <c r="S547" s="11" t="s">
        <v>3112</v>
      </c>
      <c r="T547" s="6"/>
      <c r="U547" s="28" t="str">
        <f>HYPERLINK("https://media.infra-m.ru/1910/1910762/cover/1910762.jpg", "Обложка")</f>
        <v>Обложка</v>
      </c>
      <c r="V547" s="28" t="str">
        <f>HYPERLINK("https://znanium.com/catalog/product/1710063", "Ознакомиться")</f>
        <v>Ознакомиться</v>
      </c>
      <c r="W547" s="8" t="s">
        <v>3051</v>
      </c>
      <c r="X547" s="6"/>
      <c r="Y547" s="6"/>
      <c r="Z547" s="6"/>
      <c r="AA547" s="6" t="s">
        <v>3113</v>
      </c>
    </row>
    <row r="548" spans="1:27" s="4" customFormat="1" ht="51.95" customHeight="1">
      <c r="A548" s="5">
        <v>0</v>
      </c>
      <c r="B548" s="6" t="s">
        <v>3114</v>
      </c>
      <c r="C548" s="7">
        <v>830</v>
      </c>
      <c r="D548" s="8" t="s">
        <v>3115</v>
      </c>
      <c r="E548" s="8" t="s">
        <v>3116</v>
      </c>
      <c r="F548" s="8" t="s">
        <v>3117</v>
      </c>
      <c r="G548" s="6" t="s">
        <v>37</v>
      </c>
      <c r="H548" s="6" t="s">
        <v>84</v>
      </c>
      <c r="I548" s="8" t="s">
        <v>251</v>
      </c>
      <c r="J548" s="9">
        <v>1</v>
      </c>
      <c r="K548" s="9">
        <v>238</v>
      </c>
      <c r="L548" s="9">
        <v>2020</v>
      </c>
      <c r="M548" s="8" t="s">
        <v>3118</v>
      </c>
      <c r="N548" s="8" t="s">
        <v>40</v>
      </c>
      <c r="O548" s="8" t="s">
        <v>41</v>
      </c>
      <c r="P548" s="6" t="s">
        <v>42</v>
      </c>
      <c r="Q548" s="8" t="s">
        <v>43</v>
      </c>
      <c r="R548" s="10" t="s">
        <v>3119</v>
      </c>
      <c r="S548" s="11"/>
      <c r="T548" s="6"/>
      <c r="U548" s="28" t="str">
        <f>HYPERLINK("https://media.infra-m.ru/1069/1069034/cover/1069034.jpg", "Обложка")</f>
        <v>Обложка</v>
      </c>
      <c r="V548" s="28" t="str">
        <f>HYPERLINK("https://znanium.com/catalog/product/1069034", "Ознакомиться")</f>
        <v>Ознакомиться</v>
      </c>
      <c r="W548" s="8" t="s">
        <v>375</v>
      </c>
      <c r="X548" s="6"/>
      <c r="Y548" s="6"/>
      <c r="Z548" s="6"/>
      <c r="AA548" s="6" t="s">
        <v>298</v>
      </c>
    </row>
    <row r="549" spans="1:27" s="4" customFormat="1" ht="42" customHeight="1">
      <c r="A549" s="5">
        <v>0</v>
      </c>
      <c r="B549" s="6" t="s">
        <v>3120</v>
      </c>
      <c r="C549" s="13">
        <v>2360</v>
      </c>
      <c r="D549" s="8" t="s">
        <v>3121</v>
      </c>
      <c r="E549" s="8" t="s">
        <v>3122</v>
      </c>
      <c r="F549" s="8" t="s">
        <v>3123</v>
      </c>
      <c r="G549" s="6" t="s">
        <v>37</v>
      </c>
      <c r="H549" s="6" t="s">
        <v>38</v>
      </c>
      <c r="I549" s="8"/>
      <c r="J549" s="9">
        <v>1</v>
      </c>
      <c r="K549" s="9">
        <v>608</v>
      </c>
      <c r="L549" s="9">
        <v>2023</v>
      </c>
      <c r="M549" s="8" t="s">
        <v>3124</v>
      </c>
      <c r="N549" s="8" t="s">
        <v>40</v>
      </c>
      <c r="O549" s="8" t="s">
        <v>41</v>
      </c>
      <c r="P549" s="6" t="s">
        <v>42</v>
      </c>
      <c r="Q549" s="8" t="s">
        <v>43</v>
      </c>
      <c r="R549" s="10" t="s">
        <v>3125</v>
      </c>
      <c r="S549" s="11"/>
      <c r="T549" s="6"/>
      <c r="U549" s="28" t="str">
        <f>HYPERLINK("https://media.infra-m.ru/1896/1896815/cover/1896815.jpg", "Обложка")</f>
        <v>Обложка</v>
      </c>
      <c r="V549" s="28" t="str">
        <f>HYPERLINK("https://znanium.com/catalog/product/1896815", "Ознакомиться")</f>
        <v>Ознакомиться</v>
      </c>
      <c r="W549" s="8" t="s">
        <v>195</v>
      </c>
      <c r="X549" s="6"/>
      <c r="Y549" s="6"/>
      <c r="Z549" s="6"/>
      <c r="AA549" s="6" t="s">
        <v>289</v>
      </c>
    </row>
    <row r="550" spans="1:27" s="4" customFormat="1" ht="42" customHeight="1">
      <c r="A550" s="5">
        <v>0</v>
      </c>
      <c r="B550" s="6" t="s">
        <v>3126</v>
      </c>
      <c r="C550" s="13">
        <v>1454.9</v>
      </c>
      <c r="D550" s="8" t="s">
        <v>3127</v>
      </c>
      <c r="E550" s="8" t="s">
        <v>3128</v>
      </c>
      <c r="F550" s="8" t="s">
        <v>3129</v>
      </c>
      <c r="G550" s="6" t="s">
        <v>58</v>
      </c>
      <c r="H550" s="6" t="s">
        <v>38</v>
      </c>
      <c r="I550" s="8"/>
      <c r="J550" s="9">
        <v>1</v>
      </c>
      <c r="K550" s="9">
        <v>416</v>
      </c>
      <c r="L550" s="9">
        <v>2020</v>
      </c>
      <c r="M550" s="8" t="s">
        <v>3130</v>
      </c>
      <c r="N550" s="8" t="s">
        <v>40</v>
      </c>
      <c r="O550" s="8" t="s">
        <v>41</v>
      </c>
      <c r="P550" s="6" t="s">
        <v>42</v>
      </c>
      <c r="Q550" s="8" t="s">
        <v>43</v>
      </c>
      <c r="R550" s="10" t="s">
        <v>304</v>
      </c>
      <c r="S550" s="11"/>
      <c r="T550" s="6"/>
      <c r="U550" s="28" t="str">
        <f>HYPERLINK("https://media.infra-m.ru/1078/1078340/cover/1078340.jpg", "Обложка")</f>
        <v>Обложка</v>
      </c>
      <c r="V550" s="28" t="str">
        <f>HYPERLINK("https://znanium.com/catalog/product/968676", "Ознакомиться")</f>
        <v>Ознакомиться</v>
      </c>
      <c r="W550" s="8" t="s">
        <v>78</v>
      </c>
      <c r="X550" s="6"/>
      <c r="Y550" s="6"/>
      <c r="Z550" s="6"/>
      <c r="AA550" s="6" t="s">
        <v>3131</v>
      </c>
    </row>
    <row r="551" spans="1:27" s="4" customFormat="1" ht="51.95" customHeight="1">
      <c r="A551" s="5">
        <v>0</v>
      </c>
      <c r="B551" s="6" t="s">
        <v>3132</v>
      </c>
      <c r="C551" s="13">
        <v>2150</v>
      </c>
      <c r="D551" s="8" t="s">
        <v>3133</v>
      </c>
      <c r="E551" s="8" t="s">
        <v>3134</v>
      </c>
      <c r="F551" s="8" t="s">
        <v>3135</v>
      </c>
      <c r="G551" s="6" t="s">
        <v>58</v>
      </c>
      <c r="H551" s="6" t="s">
        <v>38</v>
      </c>
      <c r="I551" s="8"/>
      <c r="J551" s="9">
        <v>1</v>
      </c>
      <c r="K551" s="9">
        <v>464</v>
      </c>
      <c r="L551" s="9">
        <v>2024</v>
      </c>
      <c r="M551" s="8" t="s">
        <v>3136</v>
      </c>
      <c r="N551" s="8" t="s">
        <v>40</v>
      </c>
      <c r="O551" s="8" t="s">
        <v>41</v>
      </c>
      <c r="P551" s="6" t="s">
        <v>95</v>
      </c>
      <c r="Q551" s="8" t="s">
        <v>76</v>
      </c>
      <c r="R551" s="10" t="s">
        <v>1900</v>
      </c>
      <c r="S551" s="11"/>
      <c r="T551" s="6"/>
      <c r="U551" s="28" t="str">
        <f>HYPERLINK("https://media.infra-m.ru/2118/2118102/cover/2118102.jpg", "Обложка")</f>
        <v>Обложка</v>
      </c>
      <c r="V551" s="28" t="str">
        <f>HYPERLINK("https://znanium.com/catalog/product/2118102", "Ознакомиться")</f>
        <v>Ознакомиться</v>
      </c>
      <c r="W551" s="8" t="s">
        <v>3137</v>
      </c>
      <c r="X551" s="6"/>
      <c r="Y551" s="6"/>
      <c r="Z551" s="6"/>
      <c r="AA551" s="6" t="s">
        <v>311</v>
      </c>
    </row>
    <row r="552" spans="1:27" s="4" customFormat="1" ht="42" customHeight="1">
      <c r="A552" s="5">
        <v>0</v>
      </c>
      <c r="B552" s="6" t="s">
        <v>3138</v>
      </c>
      <c r="C552" s="13">
        <v>1734</v>
      </c>
      <c r="D552" s="8" t="s">
        <v>3139</v>
      </c>
      <c r="E552" s="8" t="s">
        <v>3140</v>
      </c>
      <c r="F552" s="8" t="s">
        <v>3141</v>
      </c>
      <c r="G552" s="6" t="s">
        <v>58</v>
      </c>
      <c r="H552" s="6" t="s">
        <v>617</v>
      </c>
      <c r="I552" s="8" t="s">
        <v>1525</v>
      </c>
      <c r="J552" s="9">
        <v>1</v>
      </c>
      <c r="K552" s="9">
        <v>386</v>
      </c>
      <c r="L552" s="9">
        <v>2024</v>
      </c>
      <c r="M552" s="8" t="s">
        <v>3142</v>
      </c>
      <c r="N552" s="8" t="s">
        <v>40</v>
      </c>
      <c r="O552" s="8" t="s">
        <v>41</v>
      </c>
      <c r="P552" s="6" t="s">
        <v>42</v>
      </c>
      <c r="Q552" s="8" t="s">
        <v>43</v>
      </c>
      <c r="R552" s="10" t="s">
        <v>304</v>
      </c>
      <c r="S552" s="11"/>
      <c r="T552" s="6"/>
      <c r="U552" s="28" t="str">
        <f>HYPERLINK("https://media.infra-m.ru/2058/2058765/cover/2058765.jpg", "Обложка")</f>
        <v>Обложка</v>
      </c>
      <c r="V552" s="12"/>
      <c r="W552" s="8" t="s">
        <v>3143</v>
      </c>
      <c r="X552" s="6"/>
      <c r="Y552" s="6"/>
      <c r="Z552" s="6"/>
      <c r="AA552" s="6" t="s">
        <v>719</v>
      </c>
    </row>
    <row r="553" spans="1:27" s="4" customFormat="1" ht="44.1" customHeight="1">
      <c r="A553" s="5">
        <v>0</v>
      </c>
      <c r="B553" s="6" t="s">
        <v>3144</v>
      </c>
      <c r="C553" s="7">
        <v>750</v>
      </c>
      <c r="D553" s="8" t="s">
        <v>3145</v>
      </c>
      <c r="E553" s="8" t="s">
        <v>3146</v>
      </c>
      <c r="F553" s="8" t="s">
        <v>1629</v>
      </c>
      <c r="G553" s="6" t="s">
        <v>51</v>
      </c>
      <c r="H553" s="6" t="s">
        <v>84</v>
      </c>
      <c r="I553" s="8" t="s">
        <v>251</v>
      </c>
      <c r="J553" s="9">
        <v>1</v>
      </c>
      <c r="K553" s="9">
        <v>187</v>
      </c>
      <c r="L553" s="9">
        <v>2022</v>
      </c>
      <c r="M553" s="8" t="s">
        <v>3147</v>
      </c>
      <c r="N553" s="8" t="s">
        <v>40</v>
      </c>
      <c r="O553" s="8" t="s">
        <v>41</v>
      </c>
      <c r="P553" s="6" t="s">
        <v>42</v>
      </c>
      <c r="Q553" s="8" t="s">
        <v>43</v>
      </c>
      <c r="R553" s="10" t="s">
        <v>1339</v>
      </c>
      <c r="S553" s="11"/>
      <c r="T553" s="6"/>
      <c r="U553" s="28" t="str">
        <f>HYPERLINK("https://media.infra-m.ru/1864/1864098/cover/1864098.jpg", "Обложка")</f>
        <v>Обложка</v>
      </c>
      <c r="V553" s="28" t="str">
        <f>HYPERLINK("https://znanium.com/catalog/product/1864098", "Ознакомиться")</f>
        <v>Ознакомиться</v>
      </c>
      <c r="W553" s="8" t="s">
        <v>114</v>
      </c>
      <c r="X553" s="6"/>
      <c r="Y553" s="6"/>
      <c r="Z553" s="6"/>
      <c r="AA553" s="6" t="s">
        <v>62</v>
      </c>
    </row>
    <row r="554" spans="1:27" s="4" customFormat="1" ht="51.95" customHeight="1">
      <c r="A554" s="5">
        <v>0</v>
      </c>
      <c r="B554" s="6" t="s">
        <v>3148</v>
      </c>
      <c r="C554" s="7">
        <v>740</v>
      </c>
      <c r="D554" s="8" t="s">
        <v>3149</v>
      </c>
      <c r="E554" s="8" t="s">
        <v>3150</v>
      </c>
      <c r="F554" s="8" t="s">
        <v>593</v>
      </c>
      <c r="G554" s="6" t="s">
        <v>37</v>
      </c>
      <c r="H554" s="6" t="s">
        <v>38</v>
      </c>
      <c r="I554" s="8"/>
      <c r="J554" s="9">
        <v>1</v>
      </c>
      <c r="K554" s="9">
        <v>188</v>
      </c>
      <c r="L554" s="9">
        <v>2022</v>
      </c>
      <c r="M554" s="8" t="s">
        <v>3151</v>
      </c>
      <c r="N554" s="8" t="s">
        <v>40</v>
      </c>
      <c r="O554" s="8" t="s">
        <v>41</v>
      </c>
      <c r="P554" s="6" t="s">
        <v>75</v>
      </c>
      <c r="Q554" s="8" t="s">
        <v>76</v>
      </c>
      <c r="R554" s="10" t="s">
        <v>235</v>
      </c>
      <c r="S554" s="11"/>
      <c r="T554" s="6"/>
      <c r="U554" s="28" t="str">
        <f>HYPERLINK("https://media.infra-m.ru/1854/1854797/cover/1854797.jpg", "Обложка")</f>
        <v>Обложка</v>
      </c>
      <c r="V554" s="28" t="str">
        <f>HYPERLINK("https://znanium.com/catalog/product/1854797", "Ознакомиться")</f>
        <v>Ознакомиться</v>
      </c>
      <c r="W554" s="8" t="s">
        <v>114</v>
      </c>
      <c r="X554" s="6"/>
      <c r="Y554" s="6"/>
      <c r="Z554" s="6"/>
      <c r="AA554" s="6" t="s">
        <v>148</v>
      </c>
    </row>
    <row r="555" spans="1:27" s="4" customFormat="1" ht="44.1" customHeight="1">
      <c r="A555" s="5">
        <v>0</v>
      </c>
      <c r="B555" s="6" t="s">
        <v>3152</v>
      </c>
      <c r="C555" s="13">
        <v>1764</v>
      </c>
      <c r="D555" s="8" t="s">
        <v>3153</v>
      </c>
      <c r="E555" s="8" t="s">
        <v>3154</v>
      </c>
      <c r="F555" s="8" t="s">
        <v>684</v>
      </c>
      <c r="G555" s="6" t="s">
        <v>58</v>
      </c>
      <c r="H555" s="6" t="s">
        <v>400</v>
      </c>
      <c r="I555" s="8"/>
      <c r="J555" s="9">
        <v>1</v>
      </c>
      <c r="K555" s="9">
        <v>384</v>
      </c>
      <c r="L555" s="9">
        <v>2023</v>
      </c>
      <c r="M555" s="8" t="s">
        <v>3155</v>
      </c>
      <c r="N555" s="8" t="s">
        <v>40</v>
      </c>
      <c r="O555" s="8" t="s">
        <v>41</v>
      </c>
      <c r="P555" s="6" t="s">
        <v>42</v>
      </c>
      <c r="Q555" s="8" t="s">
        <v>43</v>
      </c>
      <c r="R555" s="10" t="s">
        <v>718</v>
      </c>
      <c r="S555" s="11"/>
      <c r="T555" s="6"/>
      <c r="U555" s="28" t="str">
        <f>HYPERLINK("https://media.infra-m.ru/2080/2080778/cover/2080778.jpg", "Обложка")</f>
        <v>Обложка</v>
      </c>
      <c r="V555" s="28" t="str">
        <f>HYPERLINK("https://znanium.com/catalog/product/1832401", "Ознакомиться")</f>
        <v>Ознакомиться</v>
      </c>
      <c r="W555" s="8" t="s">
        <v>686</v>
      </c>
      <c r="X555" s="6"/>
      <c r="Y555" s="6"/>
      <c r="Z555" s="6"/>
      <c r="AA555" s="6" t="s">
        <v>311</v>
      </c>
    </row>
    <row r="556" spans="1:27" s="4" customFormat="1" ht="51.95" customHeight="1">
      <c r="A556" s="5">
        <v>0</v>
      </c>
      <c r="B556" s="6" t="s">
        <v>3156</v>
      </c>
      <c r="C556" s="13">
        <v>1494</v>
      </c>
      <c r="D556" s="8" t="s">
        <v>3157</v>
      </c>
      <c r="E556" s="8" t="s">
        <v>3158</v>
      </c>
      <c r="F556" s="8" t="s">
        <v>3159</v>
      </c>
      <c r="G556" s="6" t="s">
        <v>58</v>
      </c>
      <c r="H556" s="6" t="s">
        <v>38</v>
      </c>
      <c r="I556" s="8"/>
      <c r="J556" s="9">
        <v>1</v>
      </c>
      <c r="K556" s="9">
        <v>368</v>
      </c>
      <c r="L556" s="9">
        <v>2022</v>
      </c>
      <c r="M556" s="8" t="s">
        <v>3160</v>
      </c>
      <c r="N556" s="8" t="s">
        <v>40</v>
      </c>
      <c r="O556" s="8" t="s">
        <v>41</v>
      </c>
      <c r="P556" s="6" t="s">
        <v>42</v>
      </c>
      <c r="Q556" s="8" t="s">
        <v>43</v>
      </c>
      <c r="R556" s="10" t="s">
        <v>304</v>
      </c>
      <c r="S556" s="11"/>
      <c r="T556" s="6"/>
      <c r="U556" s="28" t="str">
        <f>HYPERLINK("https://media.infra-m.ru/1497/1497869/cover/1497869.jpg", "Обложка")</f>
        <v>Обложка</v>
      </c>
      <c r="V556" s="28" t="str">
        <f>HYPERLINK("https://znanium.com/catalog/product/1497869", "Ознакомиться")</f>
        <v>Ознакомиться</v>
      </c>
      <c r="W556" s="8" t="s">
        <v>3051</v>
      </c>
      <c r="X556" s="6"/>
      <c r="Y556" s="6"/>
      <c r="Z556" s="6"/>
      <c r="AA556" s="6" t="s">
        <v>289</v>
      </c>
    </row>
    <row r="557" spans="1:27" s="4" customFormat="1" ht="42" customHeight="1">
      <c r="A557" s="5">
        <v>0</v>
      </c>
      <c r="B557" s="6" t="s">
        <v>3161</v>
      </c>
      <c r="C557" s="13">
        <v>1440</v>
      </c>
      <c r="D557" s="8" t="s">
        <v>3162</v>
      </c>
      <c r="E557" s="8" t="s">
        <v>3163</v>
      </c>
      <c r="F557" s="8" t="s">
        <v>3164</v>
      </c>
      <c r="G557" s="6" t="s">
        <v>51</v>
      </c>
      <c r="H557" s="6" t="s">
        <v>38</v>
      </c>
      <c r="I557" s="8"/>
      <c r="J557" s="9">
        <v>1</v>
      </c>
      <c r="K557" s="9">
        <v>368</v>
      </c>
      <c r="L557" s="9">
        <v>2022</v>
      </c>
      <c r="M557" s="8" t="s">
        <v>3165</v>
      </c>
      <c r="N557" s="8" t="s">
        <v>40</v>
      </c>
      <c r="O557" s="8" t="s">
        <v>41</v>
      </c>
      <c r="P557" s="6" t="s">
        <v>42</v>
      </c>
      <c r="Q557" s="8" t="s">
        <v>43</v>
      </c>
      <c r="R557" s="10" t="s">
        <v>3166</v>
      </c>
      <c r="S557" s="11"/>
      <c r="T557" s="6"/>
      <c r="U557" s="28" t="str">
        <f>HYPERLINK("https://media.infra-m.ru/1817/1817665/cover/1817665.jpg", "Обложка")</f>
        <v>Обложка</v>
      </c>
      <c r="V557" s="28" t="str">
        <f>HYPERLINK("https://znanium.com/catalog/product/1817665", "Ознакомиться")</f>
        <v>Ознакомиться</v>
      </c>
      <c r="W557" s="8" t="s">
        <v>3167</v>
      </c>
      <c r="X557" s="6"/>
      <c r="Y557" s="6"/>
      <c r="Z557" s="6"/>
      <c r="AA557" s="6" t="s">
        <v>2477</v>
      </c>
    </row>
    <row r="558" spans="1:27" s="4" customFormat="1" ht="51.95" customHeight="1">
      <c r="A558" s="5">
        <v>0</v>
      </c>
      <c r="B558" s="6" t="s">
        <v>3168</v>
      </c>
      <c r="C558" s="7">
        <v>800</v>
      </c>
      <c r="D558" s="8" t="s">
        <v>3169</v>
      </c>
      <c r="E558" s="8" t="s">
        <v>3170</v>
      </c>
      <c r="F558" s="8" t="s">
        <v>3171</v>
      </c>
      <c r="G558" s="6" t="s">
        <v>37</v>
      </c>
      <c r="H558" s="6" t="s">
        <v>84</v>
      </c>
      <c r="I558" s="8" t="s">
        <v>93</v>
      </c>
      <c r="J558" s="9">
        <v>1</v>
      </c>
      <c r="K558" s="9">
        <v>210</v>
      </c>
      <c r="L558" s="9">
        <v>2022</v>
      </c>
      <c r="M558" s="8" t="s">
        <v>3172</v>
      </c>
      <c r="N558" s="8" t="s">
        <v>40</v>
      </c>
      <c r="O558" s="8" t="s">
        <v>41</v>
      </c>
      <c r="P558" s="6" t="s">
        <v>95</v>
      </c>
      <c r="Q558" s="8" t="s">
        <v>96</v>
      </c>
      <c r="R558" s="10" t="s">
        <v>181</v>
      </c>
      <c r="S558" s="11" t="s">
        <v>3173</v>
      </c>
      <c r="T558" s="6"/>
      <c r="U558" s="28" t="str">
        <f>HYPERLINK("https://media.infra-m.ru/1843/1843767/cover/1843767.jpg", "Обложка")</f>
        <v>Обложка</v>
      </c>
      <c r="V558" s="28" t="str">
        <f>HYPERLINK("https://znanium.com/catalog/product/1843767", "Ознакомиться")</f>
        <v>Ознакомиться</v>
      </c>
      <c r="W558" s="8" t="s">
        <v>1957</v>
      </c>
      <c r="X558" s="6"/>
      <c r="Y558" s="6"/>
      <c r="Z558" s="6" t="s">
        <v>136</v>
      </c>
      <c r="AA558" s="6" t="s">
        <v>115</v>
      </c>
    </row>
    <row r="559" spans="1:27" s="4" customFormat="1" ht="51.95" customHeight="1">
      <c r="A559" s="5">
        <v>0</v>
      </c>
      <c r="B559" s="6" t="s">
        <v>3174</v>
      </c>
      <c r="C559" s="7">
        <v>954.9</v>
      </c>
      <c r="D559" s="8" t="s">
        <v>3175</v>
      </c>
      <c r="E559" s="8" t="s">
        <v>3170</v>
      </c>
      <c r="F559" s="8" t="s">
        <v>3171</v>
      </c>
      <c r="G559" s="6" t="s">
        <v>37</v>
      </c>
      <c r="H559" s="6" t="s">
        <v>84</v>
      </c>
      <c r="I559" s="8" t="s">
        <v>185</v>
      </c>
      <c r="J559" s="9">
        <v>1</v>
      </c>
      <c r="K559" s="9">
        <v>210</v>
      </c>
      <c r="L559" s="9">
        <v>2023</v>
      </c>
      <c r="M559" s="8" t="s">
        <v>3176</v>
      </c>
      <c r="N559" s="8" t="s">
        <v>40</v>
      </c>
      <c r="O559" s="8" t="s">
        <v>41</v>
      </c>
      <c r="P559" s="6" t="s">
        <v>95</v>
      </c>
      <c r="Q559" s="8" t="s">
        <v>76</v>
      </c>
      <c r="R559" s="10" t="s">
        <v>168</v>
      </c>
      <c r="S559" s="11" t="s">
        <v>3177</v>
      </c>
      <c r="T559" s="6"/>
      <c r="U559" s="28" t="str">
        <f>HYPERLINK("https://media.infra-m.ru/2006/2006038/cover/2006038.jpg", "Обложка")</f>
        <v>Обложка</v>
      </c>
      <c r="V559" s="28" t="str">
        <f>HYPERLINK("https://znanium.com/catalog/product/1818484", "Ознакомиться")</f>
        <v>Ознакомиться</v>
      </c>
      <c r="W559" s="8" t="s">
        <v>1957</v>
      </c>
      <c r="X559" s="6"/>
      <c r="Y559" s="6"/>
      <c r="Z559" s="6"/>
      <c r="AA559" s="6" t="s">
        <v>79</v>
      </c>
    </row>
    <row r="560" spans="1:27" s="4" customFormat="1" ht="51.95" customHeight="1">
      <c r="A560" s="5">
        <v>0</v>
      </c>
      <c r="B560" s="6" t="s">
        <v>3178</v>
      </c>
      <c r="C560" s="7">
        <v>830</v>
      </c>
      <c r="D560" s="8" t="s">
        <v>3179</v>
      </c>
      <c r="E560" s="8" t="s">
        <v>3180</v>
      </c>
      <c r="F560" s="8" t="s">
        <v>3181</v>
      </c>
      <c r="G560" s="6" t="s">
        <v>37</v>
      </c>
      <c r="H560" s="6" t="s">
        <v>84</v>
      </c>
      <c r="I560" s="8" t="s">
        <v>120</v>
      </c>
      <c r="J560" s="9">
        <v>1</v>
      </c>
      <c r="K560" s="9">
        <v>179</v>
      </c>
      <c r="L560" s="9">
        <v>2024</v>
      </c>
      <c r="M560" s="8" t="s">
        <v>3182</v>
      </c>
      <c r="N560" s="8" t="s">
        <v>40</v>
      </c>
      <c r="O560" s="8" t="s">
        <v>41</v>
      </c>
      <c r="P560" s="6" t="s">
        <v>75</v>
      </c>
      <c r="Q560" s="8" t="s">
        <v>76</v>
      </c>
      <c r="R560" s="10" t="s">
        <v>3183</v>
      </c>
      <c r="S560" s="11" t="s">
        <v>2012</v>
      </c>
      <c r="T560" s="6"/>
      <c r="U560" s="28" t="str">
        <f>HYPERLINK("https://media.infra-m.ru/2105/2105797/cover/2105797.jpg", "Обложка")</f>
        <v>Обложка</v>
      </c>
      <c r="V560" s="28" t="str">
        <f>HYPERLINK("https://znanium.com/catalog/product/2105797", "Ознакомиться")</f>
        <v>Ознакомиться</v>
      </c>
      <c r="W560" s="8" t="s">
        <v>3184</v>
      </c>
      <c r="X560" s="6"/>
      <c r="Y560" s="6"/>
      <c r="Z560" s="6"/>
      <c r="AA560" s="6" t="s">
        <v>524</v>
      </c>
    </row>
    <row r="561" spans="1:27" s="4" customFormat="1" ht="51.95" customHeight="1">
      <c r="A561" s="5">
        <v>0</v>
      </c>
      <c r="B561" s="6" t="s">
        <v>3185</v>
      </c>
      <c r="C561" s="7">
        <v>690</v>
      </c>
      <c r="D561" s="8" t="s">
        <v>3186</v>
      </c>
      <c r="E561" s="8" t="s">
        <v>3187</v>
      </c>
      <c r="F561" s="8" t="s">
        <v>3188</v>
      </c>
      <c r="G561" s="6" t="s">
        <v>37</v>
      </c>
      <c r="H561" s="6" t="s">
        <v>84</v>
      </c>
      <c r="I561" s="8" t="s">
        <v>316</v>
      </c>
      <c r="J561" s="9">
        <v>1</v>
      </c>
      <c r="K561" s="9">
        <v>142</v>
      </c>
      <c r="L561" s="9">
        <v>2024</v>
      </c>
      <c r="M561" s="8" t="s">
        <v>3189</v>
      </c>
      <c r="N561" s="8" t="s">
        <v>40</v>
      </c>
      <c r="O561" s="8" t="s">
        <v>41</v>
      </c>
      <c r="P561" s="6" t="s">
        <v>75</v>
      </c>
      <c r="Q561" s="8" t="s">
        <v>157</v>
      </c>
      <c r="R561" s="10" t="s">
        <v>122</v>
      </c>
      <c r="S561" s="11" t="s">
        <v>3190</v>
      </c>
      <c r="T561" s="6"/>
      <c r="U561" s="28" t="str">
        <f>HYPERLINK("https://media.infra-m.ru/2111/2111339/cover/2111339.jpg", "Обложка")</f>
        <v>Обложка</v>
      </c>
      <c r="V561" s="28" t="str">
        <f>HYPERLINK("https://znanium.com/catalog/product/2111339", "Ознакомиться")</f>
        <v>Ознакомиться</v>
      </c>
      <c r="W561" s="8" t="s">
        <v>3184</v>
      </c>
      <c r="X561" s="6"/>
      <c r="Y561" s="6"/>
      <c r="Z561" s="6"/>
      <c r="AA561" s="6" t="s">
        <v>148</v>
      </c>
    </row>
    <row r="562" spans="1:27" s="4" customFormat="1" ht="42" customHeight="1">
      <c r="A562" s="5">
        <v>0</v>
      </c>
      <c r="B562" s="6" t="s">
        <v>3191</v>
      </c>
      <c r="C562" s="13">
        <v>1294</v>
      </c>
      <c r="D562" s="8" t="s">
        <v>3192</v>
      </c>
      <c r="E562" s="8" t="s">
        <v>3193</v>
      </c>
      <c r="F562" s="8" t="s">
        <v>3194</v>
      </c>
      <c r="G562" s="6" t="s">
        <v>58</v>
      </c>
      <c r="H562" s="6" t="s">
        <v>38</v>
      </c>
      <c r="I562" s="8"/>
      <c r="J562" s="9">
        <v>1</v>
      </c>
      <c r="K562" s="9">
        <v>320</v>
      </c>
      <c r="L562" s="9">
        <v>2024</v>
      </c>
      <c r="M562" s="8" t="s">
        <v>3195</v>
      </c>
      <c r="N562" s="8" t="s">
        <v>40</v>
      </c>
      <c r="O562" s="8" t="s">
        <v>41</v>
      </c>
      <c r="P562" s="6" t="s">
        <v>42</v>
      </c>
      <c r="Q562" s="8" t="s">
        <v>43</v>
      </c>
      <c r="R562" s="10" t="s">
        <v>304</v>
      </c>
      <c r="S562" s="11"/>
      <c r="T562" s="6"/>
      <c r="U562" s="28" t="str">
        <f>HYPERLINK("https://media.infra-m.ru/2110/2110479/cover/2110479.jpg", "Обложка")</f>
        <v>Обложка</v>
      </c>
      <c r="V562" s="28" t="str">
        <f>HYPERLINK("https://znanium.com/catalog/product/537981", "Ознакомиться")</f>
        <v>Ознакомиться</v>
      </c>
      <c r="W562" s="8" t="s">
        <v>124</v>
      </c>
      <c r="X562" s="6"/>
      <c r="Y562" s="6"/>
      <c r="Z562" s="6"/>
      <c r="AA562" s="6" t="s">
        <v>415</v>
      </c>
    </row>
    <row r="563" spans="1:27" s="4" customFormat="1" ht="51.95" customHeight="1">
      <c r="A563" s="5">
        <v>0</v>
      </c>
      <c r="B563" s="6" t="s">
        <v>3196</v>
      </c>
      <c r="C563" s="7">
        <v>670</v>
      </c>
      <c r="D563" s="8" t="s">
        <v>3197</v>
      </c>
      <c r="E563" s="8" t="s">
        <v>3198</v>
      </c>
      <c r="F563" s="8" t="s">
        <v>3199</v>
      </c>
      <c r="G563" s="6" t="s">
        <v>37</v>
      </c>
      <c r="H563" s="6" t="s">
        <v>38</v>
      </c>
      <c r="I563" s="8"/>
      <c r="J563" s="9">
        <v>1</v>
      </c>
      <c r="K563" s="9">
        <v>160</v>
      </c>
      <c r="L563" s="9">
        <v>2022</v>
      </c>
      <c r="M563" s="8" t="s">
        <v>3200</v>
      </c>
      <c r="N563" s="8" t="s">
        <v>40</v>
      </c>
      <c r="O563" s="8" t="s">
        <v>41</v>
      </c>
      <c r="P563" s="6" t="s">
        <v>42</v>
      </c>
      <c r="Q563" s="8" t="s">
        <v>43</v>
      </c>
      <c r="R563" s="10" t="s">
        <v>1911</v>
      </c>
      <c r="S563" s="11"/>
      <c r="T563" s="6"/>
      <c r="U563" s="28" t="str">
        <f>HYPERLINK("https://media.infra-m.ru/1877/1877692/cover/1877692.jpg", "Обложка")</f>
        <v>Обложка</v>
      </c>
      <c r="V563" s="28" t="str">
        <f>HYPERLINK("https://znanium.com/catalog/product/1860215", "Ознакомиться")</f>
        <v>Ознакомиться</v>
      </c>
      <c r="W563" s="8" t="s">
        <v>114</v>
      </c>
      <c r="X563" s="6"/>
      <c r="Y563" s="6"/>
      <c r="Z563" s="6"/>
      <c r="AA563" s="6" t="s">
        <v>115</v>
      </c>
    </row>
    <row r="564" spans="1:27" s="4" customFormat="1" ht="42" customHeight="1">
      <c r="A564" s="5">
        <v>0</v>
      </c>
      <c r="B564" s="6" t="s">
        <v>3201</v>
      </c>
      <c r="C564" s="7">
        <v>414.9</v>
      </c>
      <c r="D564" s="8" t="s">
        <v>3202</v>
      </c>
      <c r="E564" s="8" t="s">
        <v>3203</v>
      </c>
      <c r="F564" s="8" t="s">
        <v>3204</v>
      </c>
      <c r="G564" s="6" t="s">
        <v>51</v>
      </c>
      <c r="H564" s="6" t="s">
        <v>400</v>
      </c>
      <c r="I564" s="8"/>
      <c r="J564" s="9">
        <v>1</v>
      </c>
      <c r="K564" s="9">
        <v>112</v>
      </c>
      <c r="L564" s="9">
        <v>2023</v>
      </c>
      <c r="M564" s="8" t="s">
        <v>3205</v>
      </c>
      <c r="N564" s="8" t="s">
        <v>40</v>
      </c>
      <c r="O564" s="8" t="s">
        <v>41</v>
      </c>
      <c r="P564" s="6" t="s">
        <v>42</v>
      </c>
      <c r="Q564" s="8" t="s">
        <v>43</v>
      </c>
      <c r="R564" s="10" t="s">
        <v>310</v>
      </c>
      <c r="S564" s="11"/>
      <c r="T564" s="6"/>
      <c r="U564" s="28" t="str">
        <f>HYPERLINK("https://media.infra-m.ru/1937/1937188/cover/1937188.jpg", "Обложка")</f>
        <v>Обложка</v>
      </c>
      <c r="V564" s="28" t="str">
        <f>HYPERLINK("https://znanium.com/catalog/product/612552", "Ознакомиться")</f>
        <v>Ознакомиться</v>
      </c>
      <c r="W564" s="8" t="s">
        <v>3206</v>
      </c>
      <c r="X564" s="6"/>
      <c r="Y564" s="6"/>
      <c r="Z564" s="6"/>
      <c r="AA564" s="6" t="s">
        <v>693</v>
      </c>
    </row>
    <row r="565" spans="1:27" s="4" customFormat="1" ht="51.95" customHeight="1">
      <c r="A565" s="5">
        <v>0</v>
      </c>
      <c r="B565" s="6" t="s">
        <v>3207</v>
      </c>
      <c r="C565" s="7">
        <v>950</v>
      </c>
      <c r="D565" s="8" t="s">
        <v>3208</v>
      </c>
      <c r="E565" s="8" t="s">
        <v>3209</v>
      </c>
      <c r="F565" s="8" t="s">
        <v>3210</v>
      </c>
      <c r="G565" s="6" t="s">
        <v>37</v>
      </c>
      <c r="H565" s="6" t="s">
        <v>84</v>
      </c>
      <c r="I565" s="8" t="s">
        <v>120</v>
      </c>
      <c r="J565" s="9">
        <v>1</v>
      </c>
      <c r="K565" s="9">
        <v>193</v>
      </c>
      <c r="L565" s="9">
        <v>2023</v>
      </c>
      <c r="M565" s="8" t="s">
        <v>3211</v>
      </c>
      <c r="N565" s="8" t="s">
        <v>40</v>
      </c>
      <c r="O565" s="8" t="s">
        <v>41</v>
      </c>
      <c r="P565" s="6" t="s">
        <v>95</v>
      </c>
      <c r="Q565" s="8" t="s">
        <v>680</v>
      </c>
      <c r="R565" s="10" t="s">
        <v>3212</v>
      </c>
      <c r="S565" s="11" t="s">
        <v>3213</v>
      </c>
      <c r="T565" s="6"/>
      <c r="U565" s="28" t="str">
        <f>HYPERLINK("https://media.infra-m.ru/2022/2022220/cover/2022220.jpg", "Обложка")</f>
        <v>Обложка</v>
      </c>
      <c r="V565" s="28" t="str">
        <f>HYPERLINK("https://znanium.com/catalog/product/1921395", "Ознакомиться")</f>
        <v>Ознакомиться</v>
      </c>
      <c r="W565" s="8" t="s">
        <v>3214</v>
      </c>
      <c r="X565" s="6"/>
      <c r="Y565" s="6"/>
      <c r="Z565" s="6"/>
      <c r="AA565" s="6" t="s">
        <v>343</v>
      </c>
    </row>
    <row r="566" spans="1:27" s="4" customFormat="1" ht="42" customHeight="1">
      <c r="A566" s="5">
        <v>0</v>
      </c>
      <c r="B566" s="6" t="s">
        <v>3215</v>
      </c>
      <c r="C566" s="7">
        <v>690</v>
      </c>
      <c r="D566" s="8" t="s">
        <v>3216</v>
      </c>
      <c r="E566" s="8" t="s">
        <v>3217</v>
      </c>
      <c r="F566" s="8" t="s">
        <v>3218</v>
      </c>
      <c r="G566" s="6" t="s">
        <v>51</v>
      </c>
      <c r="H566" s="6" t="s">
        <v>52</v>
      </c>
      <c r="I566" s="8" t="s">
        <v>2171</v>
      </c>
      <c r="J566" s="9">
        <v>1</v>
      </c>
      <c r="K566" s="9">
        <v>152</v>
      </c>
      <c r="L566" s="9">
        <v>2023</v>
      </c>
      <c r="M566" s="8" t="s">
        <v>3219</v>
      </c>
      <c r="N566" s="8" t="s">
        <v>40</v>
      </c>
      <c r="O566" s="8" t="s">
        <v>41</v>
      </c>
      <c r="P566" s="6" t="s">
        <v>75</v>
      </c>
      <c r="Q566" s="8" t="s">
        <v>76</v>
      </c>
      <c r="R566" s="10" t="s">
        <v>113</v>
      </c>
      <c r="S566" s="11"/>
      <c r="T566" s="6"/>
      <c r="U566" s="28" t="str">
        <f>HYPERLINK("https://media.infra-m.ru/1960/1960117/cover/1960117.jpg", "Обложка")</f>
        <v>Обложка</v>
      </c>
      <c r="V566" s="12"/>
      <c r="W566" s="8" t="s">
        <v>3220</v>
      </c>
      <c r="X566" s="6"/>
      <c r="Y566" s="6"/>
      <c r="Z566" s="6"/>
      <c r="AA566" s="6" t="s">
        <v>343</v>
      </c>
    </row>
    <row r="567" spans="1:27" s="4" customFormat="1" ht="51.95" customHeight="1">
      <c r="A567" s="5">
        <v>0</v>
      </c>
      <c r="B567" s="6" t="s">
        <v>3221</v>
      </c>
      <c r="C567" s="13">
        <v>1450</v>
      </c>
      <c r="D567" s="8" t="s">
        <v>3222</v>
      </c>
      <c r="E567" s="8" t="s">
        <v>3223</v>
      </c>
      <c r="F567" s="8" t="s">
        <v>3224</v>
      </c>
      <c r="G567" s="6" t="s">
        <v>51</v>
      </c>
      <c r="H567" s="6" t="s">
        <v>38</v>
      </c>
      <c r="I567" s="8"/>
      <c r="J567" s="9">
        <v>1</v>
      </c>
      <c r="K567" s="9">
        <v>320</v>
      </c>
      <c r="L567" s="9">
        <v>2023</v>
      </c>
      <c r="M567" s="8" t="s">
        <v>3225</v>
      </c>
      <c r="N567" s="8" t="s">
        <v>40</v>
      </c>
      <c r="O567" s="8" t="s">
        <v>41</v>
      </c>
      <c r="P567" s="6" t="s">
        <v>95</v>
      </c>
      <c r="Q567" s="8" t="s">
        <v>76</v>
      </c>
      <c r="R567" s="10" t="s">
        <v>3226</v>
      </c>
      <c r="S567" s="11"/>
      <c r="T567" s="6"/>
      <c r="U567" s="28" t="str">
        <f>HYPERLINK("https://media.infra-m.ru/1911/1911110/cover/1911110.jpg", "Обложка")</f>
        <v>Обложка</v>
      </c>
      <c r="V567" s="28" t="str">
        <f>HYPERLINK("https://znanium.com/catalog/product/1911110", "Ознакомиться")</f>
        <v>Ознакомиться</v>
      </c>
      <c r="W567" s="8" t="s">
        <v>45</v>
      </c>
      <c r="X567" s="6"/>
      <c r="Y567" s="6"/>
      <c r="Z567" s="6"/>
      <c r="AA567" s="6" t="s">
        <v>820</v>
      </c>
    </row>
    <row r="568" spans="1:27" s="4" customFormat="1" ht="44.1" customHeight="1">
      <c r="A568" s="5">
        <v>0</v>
      </c>
      <c r="B568" s="6" t="s">
        <v>3227</v>
      </c>
      <c r="C568" s="7">
        <v>939.9</v>
      </c>
      <c r="D568" s="8" t="s">
        <v>3228</v>
      </c>
      <c r="E568" s="8" t="s">
        <v>3229</v>
      </c>
      <c r="F568" s="8" t="s">
        <v>3230</v>
      </c>
      <c r="G568" s="6" t="s">
        <v>58</v>
      </c>
      <c r="H568" s="6" t="s">
        <v>38</v>
      </c>
      <c r="I568" s="8"/>
      <c r="J568" s="9">
        <v>1</v>
      </c>
      <c r="K568" s="9">
        <v>224</v>
      </c>
      <c r="L568" s="9">
        <v>2022</v>
      </c>
      <c r="M568" s="8" t="s">
        <v>3231</v>
      </c>
      <c r="N568" s="8" t="s">
        <v>40</v>
      </c>
      <c r="O568" s="8" t="s">
        <v>41</v>
      </c>
      <c r="P568" s="6" t="s">
        <v>75</v>
      </c>
      <c r="Q568" s="8" t="s">
        <v>157</v>
      </c>
      <c r="R568" s="10" t="s">
        <v>3232</v>
      </c>
      <c r="S568" s="11"/>
      <c r="T568" s="6"/>
      <c r="U568" s="28" t="str">
        <f>HYPERLINK("https://media.infra-m.ru/1867/1867904/cover/1867904.jpg", "Обложка")</f>
        <v>Обложка</v>
      </c>
      <c r="V568" s="28" t="str">
        <f>HYPERLINK("https://znanium.com/catalog/product/1867904", "Ознакомиться")</f>
        <v>Ознакомиться</v>
      </c>
      <c r="W568" s="8" t="s">
        <v>114</v>
      </c>
      <c r="X568" s="6"/>
      <c r="Y568" s="6"/>
      <c r="Z568" s="6"/>
      <c r="AA568" s="6" t="s">
        <v>343</v>
      </c>
    </row>
    <row r="569" spans="1:27" s="4" customFormat="1" ht="51.95" customHeight="1">
      <c r="A569" s="5">
        <v>0</v>
      </c>
      <c r="B569" s="6" t="s">
        <v>3233</v>
      </c>
      <c r="C569" s="13">
        <v>1220</v>
      </c>
      <c r="D569" s="8" t="s">
        <v>3234</v>
      </c>
      <c r="E569" s="8" t="s">
        <v>3235</v>
      </c>
      <c r="F569" s="8" t="s">
        <v>3236</v>
      </c>
      <c r="G569" s="6" t="s">
        <v>37</v>
      </c>
      <c r="H569" s="6" t="s">
        <v>1247</v>
      </c>
      <c r="I569" s="8"/>
      <c r="J569" s="9">
        <v>1</v>
      </c>
      <c r="K569" s="9">
        <v>228</v>
      </c>
      <c r="L569" s="9">
        <v>2023</v>
      </c>
      <c r="M569" s="8" t="s">
        <v>3237</v>
      </c>
      <c r="N569" s="8" t="s">
        <v>40</v>
      </c>
      <c r="O569" s="8" t="s">
        <v>41</v>
      </c>
      <c r="P569" s="6" t="s">
        <v>95</v>
      </c>
      <c r="Q569" s="8" t="s">
        <v>76</v>
      </c>
      <c r="R569" s="10" t="s">
        <v>3238</v>
      </c>
      <c r="S569" s="11"/>
      <c r="T569" s="6" t="s">
        <v>368</v>
      </c>
      <c r="U569" s="28" t="str">
        <f>HYPERLINK("https://media.infra-m.ru/1895/1895502/cover/1895502.jpg", "Обложка")</f>
        <v>Обложка</v>
      </c>
      <c r="V569" s="28" t="str">
        <f>HYPERLINK("https://znanium.com/catalog/product/1895502", "Ознакомиться")</f>
        <v>Ознакомиться</v>
      </c>
      <c r="W569" s="8" t="s">
        <v>3239</v>
      </c>
      <c r="X569" s="6"/>
      <c r="Y569" s="6"/>
      <c r="Z569" s="6"/>
      <c r="AA569" s="6" t="s">
        <v>148</v>
      </c>
    </row>
    <row r="570" spans="1:27" s="4" customFormat="1" ht="51.95" customHeight="1">
      <c r="A570" s="5">
        <v>0</v>
      </c>
      <c r="B570" s="6" t="s">
        <v>3240</v>
      </c>
      <c r="C570" s="7">
        <v>520</v>
      </c>
      <c r="D570" s="8" t="s">
        <v>3241</v>
      </c>
      <c r="E570" s="8" t="s">
        <v>3242</v>
      </c>
      <c r="F570" s="8" t="s">
        <v>3243</v>
      </c>
      <c r="G570" s="6" t="s">
        <v>51</v>
      </c>
      <c r="H570" s="6" t="s">
        <v>38</v>
      </c>
      <c r="I570" s="8"/>
      <c r="J570" s="9">
        <v>1</v>
      </c>
      <c r="K570" s="9">
        <v>128</v>
      </c>
      <c r="L570" s="9">
        <v>2022</v>
      </c>
      <c r="M570" s="8" t="s">
        <v>3244</v>
      </c>
      <c r="N570" s="8" t="s">
        <v>40</v>
      </c>
      <c r="O570" s="8" t="s">
        <v>41</v>
      </c>
      <c r="P570" s="6" t="s">
        <v>75</v>
      </c>
      <c r="Q570" s="8" t="s">
        <v>157</v>
      </c>
      <c r="R570" s="10" t="s">
        <v>1900</v>
      </c>
      <c r="S570" s="11"/>
      <c r="T570" s="6"/>
      <c r="U570" s="28" t="str">
        <f>HYPERLINK("https://media.infra-m.ru/1864/1864191/cover/1864191.jpg", "Обложка")</f>
        <v>Обложка</v>
      </c>
      <c r="V570" s="28" t="str">
        <f>HYPERLINK("https://znanium.com/catalog/product/1864191", "Ознакомиться")</f>
        <v>Ознакомиться</v>
      </c>
      <c r="W570" s="8" t="s">
        <v>114</v>
      </c>
      <c r="X570" s="6"/>
      <c r="Y570" s="6"/>
      <c r="Z570" s="6"/>
      <c r="AA570" s="6" t="s">
        <v>46</v>
      </c>
    </row>
    <row r="571" spans="1:27" s="4" customFormat="1" ht="42" customHeight="1">
      <c r="A571" s="5">
        <v>0</v>
      </c>
      <c r="B571" s="6" t="s">
        <v>3245</v>
      </c>
      <c r="C571" s="13">
        <v>1394.9</v>
      </c>
      <c r="D571" s="8" t="s">
        <v>3246</v>
      </c>
      <c r="E571" s="8" t="s">
        <v>3247</v>
      </c>
      <c r="F571" s="8" t="s">
        <v>3248</v>
      </c>
      <c r="G571" s="6" t="s">
        <v>58</v>
      </c>
      <c r="H571" s="6" t="s">
        <v>38</v>
      </c>
      <c r="I571" s="8"/>
      <c r="J571" s="9">
        <v>1</v>
      </c>
      <c r="K571" s="9">
        <v>416</v>
      </c>
      <c r="L571" s="9">
        <v>2019</v>
      </c>
      <c r="M571" s="8" t="s">
        <v>3249</v>
      </c>
      <c r="N571" s="8" t="s">
        <v>40</v>
      </c>
      <c r="O571" s="8" t="s">
        <v>41</v>
      </c>
      <c r="P571" s="6" t="s">
        <v>295</v>
      </c>
      <c r="Q571" s="8" t="s">
        <v>157</v>
      </c>
      <c r="R571" s="10" t="s">
        <v>304</v>
      </c>
      <c r="S571" s="11"/>
      <c r="T571" s="6"/>
      <c r="U571" s="28" t="str">
        <f>HYPERLINK("https://media.infra-m.ru/0987/0987369/cover/987369.jpg", "Обложка")</f>
        <v>Обложка</v>
      </c>
      <c r="V571" s="28" t="str">
        <f>HYPERLINK("https://znanium.com/catalog/product/987369", "Ознакомиться")</f>
        <v>Ознакомиться</v>
      </c>
      <c r="W571" s="8" t="s">
        <v>124</v>
      </c>
      <c r="X571" s="6"/>
      <c r="Y571" s="6"/>
      <c r="Z571" s="6"/>
      <c r="AA571" s="6" t="s">
        <v>415</v>
      </c>
    </row>
    <row r="572" spans="1:27" s="4" customFormat="1" ht="51.95" customHeight="1">
      <c r="A572" s="5">
        <v>0</v>
      </c>
      <c r="B572" s="6" t="s">
        <v>3250</v>
      </c>
      <c r="C572" s="13">
        <v>1430</v>
      </c>
      <c r="D572" s="8" t="s">
        <v>3251</v>
      </c>
      <c r="E572" s="8" t="s">
        <v>3252</v>
      </c>
      <c r="F572" s="8" t="s">
        <v>3253</v>
      </c>
      <c r="G572" s="6" t="s">
        <v>51</v>
      </c>
      <c r="H572" s="6" t="s">
        <v>52</v>
      </c>
      <c r="I572" s="8" t="s">
        <v>185</v>
      </c>
      <c r="J572" s="9">
        <v>1</v>
      </c>
      <c r="K572" s="9">
        <v>312</v>
      </c>
      <c r="L572" s="9">
        <v>2023</v>
      </c>
      <c r="M572" s="8" t="s">
        <v>3254</v>
      </c>
      <c r="N572" s="8" t="s">
        <v>40</v>
      </c>
      <c r="O572" s="8" t="s">
        <v>41</v>
      </c>
      <c r="P572" s="6" t="s">
        <v>75</v>
      </c>
      <c r="Q572" s="8" t="s">
        <v>76</v>
      </c>
      <c r="R572" s="10" t="s">
        <v>3255</v>
      </c>
      <c r="S572" s="11" t="s">
        <v>3256</v>
      </c>
      <c r="T572" s="6"/>
      <c r="U572" s="28" t="str">
        <f>HYPERLINK("https://media.infra-m.ru/1991/1991923/cover/1991923.jpg", "Обложка")</f>
        <v>Обложка</v>
      </c>
      <c r="V572" s="28" t="str">
        <f>HYPERLINK("https://znanium.com/catalog/product/1991923", "Ознакомиться")</f>
        <v>Ознакомиться</v>
      </c>
      <c r="W572" s="8" t="s">
        <v>1957</v>
      </c>
      <c r="X572" s="6"/>
      <c r="Y572" s="6"/>
      <c r="Z572" s="6"/>
      <c r="AA572" s="6" t="s">
        <v>2442</v>
      </c>
    </row>
    <row r="573" spans="1:27" s="4" customFormat="1" ht="51.95" customHeight="1">
      <c r="A573" s="5">
        <v>0</v>
      </c>
      <c r="B573" s="6" t="s">
        <v>3257</v>
      </c>
      <c r="C573" s="13">
        <v>1940</v>
      </c>
      <c r="D573" s="8" t="s">
        <v>3258</v>
      </c>
      <c r="E573" s="8" t="s">
        <v>3259</v>
      </c>
      <c r="F573" s="8" t="s">
        <v>3260</v>
      </c>
      <c r="G573" s="6" t="s">
        <v>58</v>
      </c>
      <c r="H573" s="6" t="s">
        <v>52</v>
      </c>
      <c r="I573" s="8" t="s">
        <v>120</v>
      </c>
      <c r="J573" s="9">
        <v>1</v>
      </c>
      <c r="K573" s="9">
        <v>416</v>
      </c>
      <c r="L573" s="9">
        <v>2024</v>
      </c>
      <c r="M573" s="8" t="s">
        <v>3261</v>
      </c>
      <c r="N573" s="8" t="s">
        <v>40</v>
      </c>
      <c r="O573" s="8" t="s">
        <v>41</v>
      </c>
      <c r="P573" s="6" t="s">
        <v>95</v>
      </c>
      <c r="Q573" s="8" t="s">
        <v>680</v>
      </c>
      <c r="R573" s="10" t="s">
        <v>3262</v>
      </c>
      <c r="S573" s="11" t="s">
        <v>3263</v>
      </c>
      <c r="T573" s="6" t="s">
        <v>368</v>
      </c>
      <c r="U573" s="28" t="str">
        <f>HYPERLINK("https://media.infra-m.ru/2087/2087322/cover/2087322.jpg", "Обложка")</f>
        <v>Обложка</v>
      </c>
      <c r="V573" s="28" t="str">
        <f>HYPERLINK("https://znanium.com/catalog/product/2087322", "Ознакомиться")</f>
        <v>Ознакомиться</v>
      </c>
      <c r="W573" s="8" t="s">
        <v>195</v>
      </c>
      <c r="X573" s="6"/>
      <c r="Y573" s="6"/>
      <c r="Z573" s="6"/>
      <c r="AA573" s="6" t="s">
        <v>215</v>
      </c>
    </row>
    <row r="574" spans="1:27" s="4" customFormat="1" ht="51.95" customHeight="1">
      <c r="A574" s="5">
        <v>0</v>
      </c>
      <c r="B574" s="6" t="s">
        <v>3264</v>
      </c>
      <c r="C574" s="13">
        <v>2950</v>
      </c>
      <c r="D574" s="8" t="s">
        <v>3265</v>
      </c>
      <c r="E574" s="8" t="s">
        <v>3266</v>
      </c>
      <c r="F574" s="8" t="s">
        <v>3267</v>
      </c>
      <c r="G574" s="6" t="s">
        <v>58</v>
      </c>
      <c r="H574" s="6" t="s">
        <v>38</v>
      </c>
      <c r="I574" s="8"/>
      <c r="J574" s="9">
        <v>1</v>
      </c>
      <c r="K574" s="9">
        <v>656</v>
      </c>
      <c r="L574" s="9">
        <v>2023</v>
      </c>
      <c r="M574" s="8" t="s">
        <v>3268</v>
      </c>
      <c r="N574" s="8" t="s">
        <v>40</v>
      </c>
      <c r="O574" s="8" t="s">
        <v>41</v>
      </c>
      <c r="P574" s="6" t="s">
        <v>95</v>
      </c>
      <c r="Q574" s="8" t="s">
        <v>76</v>
      </c>
      <c r="R574" s="10" t="s">
        <v>3269</v>
      </c>
      <c r="S574" s="11"/>
      <c r="T574" s="6"/>
      <c r="U574" s="28" t="str">
        <f>HYPERLINK("https://media.infra-m.ru/1983/1983247/cover/1983247.jpg", "Обложка")</f>
        <v>Обложка</v>
      </c>
      <c r="V574" s="28" t="str">
        <f>HYPERLINK("https://znanium.com/catalog/product/1983247", "Ознакомиться")</f>
        <v>Ознакомиться</v>
      </c>
      <c r="W574" s="8" t="s">
        <v>124</v>
      </c>
      <c r="X574" s="6" t="s">
        <v>645</v>
      </c>
      <c r="Y574" s="6"/>
      <c r="Z574" s="6"/>
      <c r="AA574" s="6" t="s">
        <v>408</v>
      </c>
    </row>
    <row r="575" spans="1:27" s="4" customFormat="1" ht="44.1" customHeight="1">
      <c r="A575" s="5">
        <v>0</v>
      </c>
      <c r="B575" s="6" t="s">
        <v>3270</v>
      </c>
      <c r="C575" s="13">
        <v>2614</v>
      </c>
      <c r="D575" s="8" t="s">
        <v>3271</v>
      </c>
      <c r="E575" s="8" t="s">
        <v>3272</v>
      </c>
      <c r="F575" s="8" t="s">
        <v>3273</v>
      </c>
      <c r="G575" s="6" t="s">
        <v>58</v>
      </c>
      <c r="H575" s="6" t="s">
        <v>38</v>
      </c>
      <c r="I575" s="8"/>
      <c r="J575" s="9">
        <v>1</v>
      </c>
      <c r="K575" s="9">
        <v>576</v>
      </c>
      <c r="L575" s="9">
        <v>2023</v>
      </c>
      <c r="M575" s="8" t="s">
        <v>3274</v>
      </c>
      <c r="N575" s="8" t="s">
        <v>40</v>
      </c>
      <c r="O575" s="8" t="s">
        <v>41</v>
      </c>
      <c r="P575" s="6" t="s">
        <v>95</v>
      </c>
      <c r="Q575" s="8" t="s">
        <v>76</v>
      </c>
      <c r="R575" s="10" t="s">
        <v>310</v>
      </c>
      <c r="S575" s="11"/>
      <c r="T575" s="6"/>
      <c r="U575" s="28" t="str">
        <f>HYPERLINK("https://media.infra-m.ru/1921/1921423/cover/1921423.jpg", "Обложка")</f>
        <v>Обложка</v>
      </c>
      <c r="V575" s="28" t="str">
        <f>HYPERLINK("https://znanium.com/catalog/product/1068824", "Ознакомиться")</f>
        <v>Ознакомиться</v>
      </c>
      <c r="W575" s="8" t="s">
        <v>535</v>
      </c>
      <c r="X575" s="6"/>
      <c r="Y575" s="6"/>
      <c r="Z575" s="6"/>
      <c r="AA575" s="6" t="s">
        <v>3275</v>
      </c>
    </row>
    <row r="576" spans="1:27" s="4" customFormat="1" ht="51.95" customHeight="1">
      <c r="A576" s="5">
        <v>0</v>
      </c>
      <c r="B576" s="6" t="s">
        <v>3276</v>
      </c>
      <c r="C576" s="13">
        <v>3380</v>
      </c>
      <c r="D576" s="8" t="s">
        <v>3277</v>
      </c>
      <c r="E576" s="8" t="s">
        <v>3278</v>
      </c>
      <c r="F576" s="8" t="s">
        <v>3279</v>
      </c>
      <c r="G576" s="6" t="s">
        <v>58</v>
      </c>
      <c r="H576" s="6" t="s">
        <v>38</v>
      </c>
      <c r="I576" s="8"/>
      <c r="J576" s="9">
        <v>1</v>
      </c>
      <c r="K576" s="9">
        <v>752</v>
      </c>
      <c r="L576" s="9">
        <v>2023</v>
      </c>
      <c r="M576" s="8" t="s">
        <v>3280</v>
      </c>
      <c r="N576" s="8" t="s">
        <v>40</v>
      </c>
      <c r="O576" s="8" t="s">
        <v>41</v>
      </c>
      <c r="P576" s="6" t="s">
        <v>95</v>
      </c>
      <c r="Q576" s="8" t="s">
        <v>76</v>
      </c>
      <c r="R576" s="10" t="s">
        <v>1900</v>
      </c>
      <c r="S576" s="11" t="s">
        <v>3281</v>
      </c>
      <c r="T576" s="6" t="s">
        <v>368</v>
      </c>
      <c r="U576" s="28" t="str">
        <f>HYPERLINK("https://media.infra-m.ru/2018/2018253/cover/2018253.jpg", "Обложка")</f>
        <v>Обложка</v>
      </c>
      <c r="V576" s="28" t="str">
        <f>HYPERLINK("https://znanium.com/catalog/product/2018253", "Ознакомиться")</f>
        <v>Ознакомиться</v>
      </c>
      <c r="W576" s="8" t="s">
        <v>124</v>
      </c>
      <c r="X576" s="6"/>
      <c r="Y576" s="6"/>
      <c r="Z576" s="6"/>
      <c r="AA576" s="6" t="s">
        <v>3282</v>
      </c>
    </row>
    <row r="577" spans="1:27" s="4" customFormat="1" ht="51.95" customHeight="1">
      <c r="A577" s="5">
        <v>0</v>
      </c>
      <c r="B577" s="6" t="s">
        <v>3283</v>
      </c>
      <c r="C577" s="7">
        <v>850</v>
      </c>
      <c r="D577" s="8" t="s">
        <v>3284</v>
      </c>
      <c r="E577" s="8" t="s">
        <v>3259</v>
      </c>
      <c r="F577" s="8" t="s">
        <v>3285</v>
      </c>
      <c r="G577" s="6" t="s">
        <v>37</v>
      </c>
      <c r="H577" s="6" t="s">
        <v>52</v>
      </c>
      <c r="I577" s="8" t="s">
        <v>185</v>
      </c>
      <c r="J577" s="9">
        <v>1</v>
      </c>
      <c r="K577" s="9">
        <v>176</v>
      </c>
      <c r="L577" s="9">
        <v>2023</v>
      </c>
      <c r="M577" s="8" t="s">
        <v>3286</v>
      </c>
      <c r="N577" s="8" t="s">
        <v>40</v>
      </c>
      <c r="O577" s="8" t="s">
        <v>41</v>
      </c>
      <c r="P577" s="6" t="s">
        <v>75</v>
      </c>
      <c r="Q577" s="8" t="s">
        <v>76</v>
      </c>
      <c r="R577" s="10" t="s">
        <v>3255</v>
      </c>
      <c r="S577" s="11"/>
      <c r="T577" s="6"/>
      <c r="U577" s="28" t="str">
        <f>HYPERLINK("https://media.infra-m.ru/1911/1911159/cover/1911159.jpg", "Обложка")</f>
        <v>Обложка</v>
      </c>
      <c r="V577" s="28" t="str">
        <f>HYPERLINK("https://znanium.com/catalog/product/1911159", "Ознакомиться")</f>
        <v>Ознакомиться</v>
      </c>
      <c r="W577" s="8" t="s">
        <v>3287</v>
      </c>
      <c r="X577" s="6"/>
      <c r="Y577" s="6"/>
      <c r="Z577" s="6"/>
      <c r="AA577" s="6" t="s">
        <v>171</v>
      </c>
    </row>
    <row r="578" spans="1:27" s="4" customFormat="1" ht="51.95" customHeight="1">
      <c r="A578" s="5">
        <v>0</v>
      </c>
      <c r="B578" s="6" t="s">
        <v>3288</v>
      </c>
      <c r="C578" s="7">
        <v>494.9</v>
      </c>
      <c r="D578" s="8" t="s">
        <v>3289</v>
      </c>
      <c r="E578" s="8" t="s">
        <v>3266</v>
      </c>
      <c r="F578" s="8" t="s">
        <v>3290</v>
      </c>
      <c r="G578" s="6" t="s">
        <v>58</v>
      </c>
      <c r="H578" s="6" t="s">
        <v>52</v>
      </c>
      <c r="I578" s="8" t="s">
        <v>185</v>
      </c>
      <c r="J578" s="9">
        <v>1</v>
      </c>
      <c r="K578" s="9">
        <v>168</v>
      </c>
      <c r="L578" s="9">
        <v>2017</v>
      </c>
      <c r="M578" s="8" t="s">
        <v>3291</v>
      </c>
      <c r="N578" s="8" t="s">
        <v>40</v>
      </c>
      <c r="O578" s="8" t="s">
        <v>41</v>
      </c>
      <c r="P578" s="6" t="s">
        <v>75</v>
      </c>
      <c r="Q578" s="8" t="s">
        <v>76</v>
      </c>
      <c r="R578" s="10" t="s">
        <v>3255</v>
      </c>
      <c r="S578" s="11" t="s">
        <v>3292</v>
      </c>
      <c r="T578" s="6"/>
      <c r="U578" s="12"/>
      <c r="V578" s="28" t="str">
        <f>HYPERLINK("https://znanium.com/catalog/product/1911159", "Ознакомиться")</f>
        <v>Ознакомиться</v>
      </c>
      <c r="W578" s="8" t="s">
        <v>3287</v>
      </c>
      <c r="X578" s="6"/>
      <c r="Y578" s="6"/>
      <c r="Z578" s="6"/>
      <c r="AA578" s="6" t="s">
        <v>422</v>
      </c>
    </row>
    <row r="579" spans="1:27" s="4" customFormat="1" ht="51.95" customHeight="1">
      <c r="A579" s="5">
        <v>0</v>
      </c>
      <c r="B579" s="6" t="s">
        <v>3293</v>
      </c>
      <c r="C579" s="13">
        <v>1820</v>
      </c>
      <c r="D579" s="8" t="s">
        <v>3294</v>
      </c>
      <c r="E579" s="8" t="s">
        <v>3259</v>
      </c>
      <c r="F579" s="8" t="s">
        <v>3295</v>
      </c>
      <c r="G579" s="6" t="s">
        <v>37</v>
      </c>
      <c r="H579" s="6" t="s">
        <v>84</v>
      </c>
      <c r="I579" s="8" t="s">
        <v>120</v>
      </c>
      <c r="J579" s="9">
        <v>1</v>
      </c>
      <c r="K579" s="9">
        <v>398</v>
      </c>
      <c r="L579" s="9">
        <v>2024</v>
      </c>
      <c r="M579" s="8" t="s">
        <v>3296</v>
      </c>
      <c r="N579" s="8" t="s">
        <v>40</v>
      </c>
      <c r="O579" s="8" t="s">
        <v>41</v>
      </c>
      <c r="P579" s="6" t="s">
        <v>75</v>
      </c>
      <c r="Q579" s="8" t="s">
        <v>76</v>
      </c>
      <c r="R579" s="10" t="s">
        <v>122</v>
      </c>
      <c r="S579" s="11" t="s">
        <v>3297</v>
      </c>
      <c r="T579" s="6"/>
      <c r="U579" s="28" t="str">
        <f>HYPERLINK("https://media.infra-m.ru/2074/2074321/cover/2074321.jpg", "Обложка")</f>
        <v>Обложка</v>
      </c>
      <c r="V579" s="28" t="str">
        <f>HYPERLINK("https://znanium.com/catalog/product/2074321", "Ознакомиться")</f>
        <v>Ознакомиться</v>
      </c>
      <c r="W579" s="8"/>
      <c r="X579" s="6"/>
      <c r="Y579" s="6"/>
      <c r="Z579" s="6"/>
      <c r="AA579" s="6" t="s">
        <v>320</v>
      </c>
    </row>
    <row r="580" spans="1:27" s="4" customFormat="1" ht="51.95" customHeight="1">
      <c r="A580" s="5">
        <v>0</v>
      </c>
      <c r="B580" s="6" t="s">
        <v>3298</v>
      </c>
      <c r="C580" s="7">
        <v>99.9</v>
      </c>
      <c r="D580" s="8" t="s">
        <v>3299</v>
      </c>
      <c r="E580" s="8" t="s">
        <v>3259</v>
      </c>
      <c r="F580" s="8"/>
      <c r="G580" s="6" t="s">
        <v>51</v>
      </c>
      <c r="H580" s="6" t="s">
        <v>52</v>
      </c>
      <c r="I580" s="8" t="s">
        <v>226</v>
      </c>
      <c r="J580" s="9">
        <v>80</v>
      </c>
      <c r="K580" s="9">
        <v>208</v>
      </c>
      <c r="L580" s="9">
        <v>2017</v>
      </c>
      <c r="M580" s="8" t="s">
        <v>3300</v>
      </c>
      <c r="N580" s="8" t="s">
        <v>40</v>
      </c>
      <c r="O580" s="8" t="s">
        <v>41</v>
      </c>
      <c r="P580" s="6" t="s">
        <v>228</v>
      </c>
      <c r="Q580" s="8" t="s">
        <v>76</v>
      </c>
      <c r="R580" s="10" t="s">
        <v>3301</v>
      </c>
      <c r="S580" s="11"/>
      <c r="T580" s="6"/>
      <c r="U580" s="28" t="str">
        <f>HYPERLINK("https://media.infra-m.ru/0614/0614658/cover/614658.jpg", "Обложка")</f>
        <v>Обложка</v>
      </c>
      <c r="V580" s="28" t="str">
        <f>HYPERLINK("https://znanium.com/catalog/product/614658", "Ознакомиться")</f>
        <v>Ознакомиться</v>
      </c>
      <c r="W580" s="8"/>
      <c r="X580" s="6"/>
      <c r="Y580" s="6"/>
      <c r="Z580" s="6"/>
      <c r="AA580" s="6" t="s">
        <v>524</v>
      </c>
    </row>
    <row r="581" spans="1:27" s="4" customFormat="1" ht="42" customHeight="1">
      <c r="A581" s="5">
        <v>0</v>
      </c>
      <c r="B581" s="6" t="s">
        <v>3302</v>
      </c>
      <c r="C581" s="13">
        <v>1624</v>
      </c>
      <c r="D581" s="8" t="s">
        <v>3303</v>
      </c>
      <c r="E581" s="8" t="s">
        <v>3304</v>
      </c>
      <c r="F581" s="8" t="s">
        <v>3305</v>
      </c>
      <c r="G581" s="6" t="s">
        <v>58</v>
      </c>
      <c r="H581" s="6" t="s">
        <v>38</v>
      </c>
      <c r="I581" s="8"/>
      <c r="J581" s="9">
        <v>1</v>
      </c>
      <c r="K581" s="9">
        <v>352</v>
      </c>
      <c r="L581" s="9">
        <v>2023</v>
      </c>
      <c r="M581" s="8" t="s">
        <v>3306</v>
      </c>
      <c r="N581" s="8" t="s">
        <v>40</v>
      </c>
      <c r="O581" s="8" t="s">
        <v>41</v>
      </c>
      <c r="P581" s="6" t="s">
        <v>42</v>
      </c>
      <c r="Q581" s="8" t="s">
        <v>43</v>
      </c>
      <c r="R581" s="10" t="s">
        <v>310</v>
      </c>
      <c r="S581" s="11"/>
      <c r="T581" s="6"/>
      <c r="U581" s="28" t="str">
        <f>HYPERLINK("https://media.infra-m.ru/2045/2045934/cover/2045934.jpg", "Обложка")</f>
        <v>Обложка</v>
      </c>
      <c r="V581" s="28" t="str">
        <f>HYPERLINK("https://znanium.com/catalog/product/1151528", "Ознакомиться")</f>
        <v>Ознакомиться</v>
      </c>
      <c r="W581" s="8" t="s">
        <v>1356</v>
      </c>
      <c r="X581" s="6"/>
      <c r="Y581" s="6"/>
      <c r="Z581" s="6"/>
      <c r="AA581" s="6" t="s">
        <v>635</v>
      </c>
    </row>
    <row r="582" spans="1:27" s="4" customFormat="1" ht="42" customHeight="1">
      <c r="A582" s="5">
        <v>0</v>
      </c>
      <c r="B582" s="6" t="s">
        <v>3307</v>
      </c>
      <c r="C582" s="7">
        <v>574.9</v>
      </c>
      <c r="D582" s="8" t="s">
        <v>3308</v>
      </c>
      <c r="E582" s="8" t="s">
        <v>3309</v>
      </c>
      <c r="F582" s="8" t="s">
        <v>3310</v>
      </c>
      <c r="G582" s="6" t="s">
        <v>58</v>
      </c>
      <c r="H582" s="6" t="s">
        <v>38</v>
      </c>
      <c r="I582" s="8"/>
      <c r="J582" s="9">
        <v>14</v>
      </c>
      <c r="K582" s="9">
        <v>352</v>
      </c>
      <c r="L582" s="9">
        <v>2015</v>
      </c>
      <c r="M582" s="8" t="s">
        <v>3311</v>
      </c>
      <c r="N582" s="8" t="s">
        <v>40</v>
      </c>
      <c r="O582" s="8" t="s">
        <v>41</v>
      </c>
      <c r="P582" s="6" t="s">
        <v>42</v>
      </c>
      <c r="Q582" s="8" t="s">
        <v>43</v>
      </c>
      <c r="R582" s="10" t="s">
        <v>310</v>
      </c>
      <c r="S582" s="11"/>
      <c r="T582" s="6"/>
      <c r="U582" s="28" t="str">
        <f>HYPERLINK("https://media.infra-m.ru/0490/0490097/cover/490097.jpg", "Обложка")</f>
        <v>Обложка</v>
      </c>
      <c r="V582" s="28" t="str">
        <f>HYPERLINK("https://znanium.com/catalog/product/1151528", "Ознакомиться")</f>
        <v>Ознакомиться</v>
      </c>
      <c r="W582" s="8" t="s">
        <v>1356</v>
      </c>
      <c r="X582" s="6"/>
      <c r="Y582" s="6"/>
      <c r="Z582" s="6"/>
      <c r="AA582" s="6" t="s">
        <v>727</v>
      </c>
    </row>
    <row r="583" spans="1:27" s="4" customFormat="1" ht="42" customHeight="1">
      <c r="A583" s="5">
        <v>0</v>
      </c>
      <c r="B583" s="6" t="s">
        <v>3312</v>
      </c>
      <c r="C583" s="7">
        <v>680</v>
      </c>
      <c r="D583" s="8" t="s">
        <v>3313</v>
      </c>
      <c r="E583" s="8" t="s">
        <v>3314</v>
      </c>
      <c r="F583" s="8" t="s">
        <v>515</v>
      </c>
      <c r="G583" s="6" t="s">
        <v>58</v>
      </c>
      <c r="H583" s="6" t="s">
        <v>38</v>
      </c>
      <c r="I583" s="8"/>
      <c r="J583" s="9">
        <v>1</v>
      </c>
      <c r="K583" s="9">
        <v>192</v>
      </c>
      <c r="L583" s="9">
        <v>2020</v>
      </c>
      <c r="M583" s="8" t="s">
        <v>3315</v>
      </c>
      <c r="N583" s="8" t="s">
        <v>40</v>
      </c>
      <c r="O583" s="8" t="s">
        <v>41</v>
      </c>
      <c r="P583" s="6" t="s">
        <v>42</v>
      </c>
      <c r="Q583" s="8" t="s">
        <v>43</v>
      </c>
      <c r="R583" s="10" t="s">
        <v>1339</v>
      </c>
      <c r="S583" s="11"/>
      <c r="T583" s="6"/>
      <c r="U583" s="28" t="str">
        <f>HYPERLINK("https://media.infra-m.ru/1088/1088257/cover/1088257.jpg", "Обложка")</f>
        <v>Обложка</v>
      </c>
      <c r="V583" s="28" t="str">
        <f>HYPERLINK("https://znanium.com/catalog/product/1088257", "Ознакомиться")</f>
        <v>Ознакомиться</v>
      </c>
      <c r="W583" s="8" t="s">
        <v>45</v>
      </c>
      <c r="X583" s="6"/>
      <c r="Y583" s="6"/>
      <c r="Z583" s="6"/>
      <c r="AA583" s="6" t="s">
        <v>79</v>
      </c>
    </row>
    <row r="584" spans="1:27" s="4" customFormat="1" ht="42" customHeight="1">
      <c r="A584" s="5">
        <v>0</v>
      </c>
      <c r="B584" s="6" t="s">
        <v>3316</v>
      </c>
      <c r="C584" s="7">
        <v>600</v>
      </c>
      <c r="D584" s="8" t="s">
        <v>3317</v>
      </c>
      <c r="E584" s="8" t="s">
        <v>3318</v>
      </c>
      <c r="F584" s="8" t="s">
        <v>3319</v>
      </c>
      <c r="G584" s="6" t="s">
        <v>51</v>
      </c>
      <c r="H584" s="6" t="s">
        <v>52</v>
      </c>
      <c r="I584" s="8" t="s">
        <v>251</v>
      </c>
      <c r="J584" s="9">
        <v>1</v>
      </c>
      <c r="K584" s="9">
        <v>133</v>
      </c>
      <c r="L584" s="9">
        <v>2023</v>
      </c>
      <c r="M584" s="8" t="s">
        <v>3320</v>
      </c>
      <c r="N584" s="8" t="s">
        <v>40</v>
      </c>
      <c r="O584" s="8" t="s">
        <v>41</v>
      </c>
      <c r="P584" s="6" t="s">
        <v>42</v>
      </c>
      <c r="Q584" s="8" t="s">
        <v>43</v>
      </c>
      <c r="R584" s="10" t="s">
        <v>69</v>
      </c>
      <c r="S584" s="11"/>
      <c r="T584" s="6"/>
      <c r="U584" s="28" t="str">
        <f>HYPERLINK("https://media.infra-m.ru/1903/1903555/cover/1903555.jpg", "Обложка")</f>
        <v>Обложка</v>
      </c>
      <c r="V584" s="12"/>
      <c r="W584" s="8" t="s">
        <v>1957</v>
      </c>
      <c r="X584" s="6"/>
      <c r="Y584" s="6"/>
      <c r="Z584" s="6"/>
      <c r="AA584" s="6" t="s">
        <v>415</v>
      </c>
    </row>
    <row r="585" spans="1:27" s="4" customFormat="1" ht="51.95" customHeight="1">
      <c r="A585" s="5">
        <v>0</v>
      </c>
      <c r="B585" s="6" t="s">
        <v>3321</v>
      </c>
      <c r="C585" s="7">
        <v>450</v>
      </c>
      <c r="D585" s="8" t="s">
        <v>3322</v>
      </c>
      <c r="E585" s="8" t="s">
        <v>3323</v>
      </c>
      <c r="F585" s="8" t="s">
        <v>3324</v>
      </c>
      <c r="G585" s="6" t="s">
        <v>51</v>
      </c>
      <c r="H585" s="6" t="s">
        <v>52</v>
      </c>
      <c r="I585" s="8" t="s">
        <v>185</v>
      </c>
      <c r="J585" s="9">
        <v>1</v>
      </c>
      <c r="K585" s="9">
        <v>107</v>
      </c>
      <c r="L585" s="9">
        <v>2021</v>
      </c>
      <c r="M585" s="8" t="s">
        <v>3325</v>
      </c>
      <c r="N585" s="8" t="s">
        <v>40</v>
      </c>
      <c r="O585" s="8" t="s">
        <v>41</v>
      </c>
      <c r="P585" s="6" t="s">
        <v>75</v>
      </c>
      <c r="Q585" s="8" t="s">
        <v>76</v>
      </c>
      <c r="R585" s="10" t="s">
        <v>3255</v>
      </c>
      <c r="S585" s="11" t="s">
        <v>3326</v>
      </c>
      <c r="T585" s="6"/>
      <c r="U585" s="28" t="str">
        <f>HYPERLINK("https://media.infra-m.ru/1215/1215347/cover/1215347.jpg", "Обложка")</f>
        <v>Обложка</v>
      </c>
      <c r="V585" s="28" t="str">
        <f>HYPERLINK("https://znanium.com/catalog/product/1215347", "Ознакомиться")</f>
        <v>Ознакомиться</v>
      </c>
      <c r="W585" s="8"/>
      <c r="X585" s="6"/>
      <c r="Y585" s="6"/>
      <c r="Z585" s="6"/>
      <c r="AA585" s="6" t="s">
        <v>148</v>
      </c>
    </row>
    <row r="586" spans="1:27" s="4" customFormat="1" ht="51.95" customHeight="1">
      <c r="A586" s="5">
        <v>0</v>
      </c>
      <c r="B586" s="6" t="s">
        <v>3327</v>
      </c>
      <c r="C586" s="13">
        <v>1844</v>
      </c>
      <c r="D586" s="8" t="s">
        <v>3328</v>
      </c>
      <c r="E586" s="8" t="s">
        <v>3329</v>
      </c>
      <c r="F586" s="8" t="s">
        <v>3129</v>
      </c>
      <c r="G586" s="6" t="s">
        <v>51</v>
      </c>
      <c r="H586" s="6" t="s">
        <v>38</v>
      </c>
      <c r="I586" s="8" t="s">
        <v>2570</v>
      </c>
      <c r="J586" s="9">
        <v>1</v>
      </c>
      <c r="K586" s="9">
        <v>400</v>
      </c>
      <c r="L586" s="9">
        <v>2024</v>
      </c>
      <c r="M586" s="8" t="s">
        <v>3330</v>
      </c>
      <c r="N586" s="8" t="s">
        <v>40</v>
      </c>
      <c r="O586" s="8" t="s">
        <v>41</v>
      </c>
      <c r="P586" s="6" t="s">
        <v>2566</v>
      </c>
      <c r="Q586" s="8" t="s">
        <v>680</v>
      </c>
      <c r="R586" s="10" t="s">
        <v>122</v>
      </c>
      <c r="S586" s="11"/>
      <c r="T586" s="6"/>
      <c r="U586" s="28" t="str">
        <f>HYPERLINK("https://media.infra-m.ru/2053/2053225/cover/2053225.jpg", "Обложка")</f>
        <v>Обложка</v>
      </c>
      <c r="V586" s="28" t="str">
        <f>HYPERLINK("https://znanium.com/catalog/product/1061598", "Ознакомиться")</f>
        <v>Ознакомиться</v>
      </c>
      <c r="W586" s="8" t="s">
        <v>78</v>
      </c>
      <c r="X586" s="6"/>
      <c r="Y586" s="6"/>
      <c r="Z586" s="6"/>
      <c r="AA586" s="6" t="s">
        <v>848</v>
      </c>
    </row>
    <row r="587" spans="1:27" s="4" customFormat="1" ht="51.95" customHeight="1">
      <c r="A587" s="5">
        <v>0</v>
      </c>
      <c r="B587" s="6" t="s">
        <v>3331</v>
      </c>
      <c r="C587" s="13">
        <v>2944</v>
      </c>
      <c r="D587" s="8" t="s">
        <v>3332</v>
      </c>
      <c r="E587" s="8" t="s">
        <v>3333</v>
      </c>
      <c r="F587" s="8" t="s">
        <v>3129</v>
      </c>
      <c r="G587" s="6" t="s">
        <v>37</v>
      </c>
      <c r="H587" s="6" t="s">
        <v>38</v>
      </c>
      <c r="I587" s="8"/>
      <c r="J587" s="9">
        <v>1</v>
      </c>
      <c r="K587" s="9">
        <v>672</v>
      </c>
      <c r="L587" s="9">
        <v>2023</v>
      </c>
      <c r="M587" s="8" t="s">
        <v>3334</v>
      </c>
      <c r="N587" s="8" t="s">
        <v>40</v>
      </c>
      <c r="O587" s="8" t="s">
        <v>41</v>
      </c>
      <c r="P587" s="6" t="s">
        <v>95</v>
      </c>
      <c r="Q587" s="8" t="s">
        <v>76</v>
      </c>
      <c r="R587" s="10" t="s">
        <v>77</v>
      </c>
      <c r="S587" s="11" t="s">
        <v>3335</v>
      </c>
      <c r="T587" s="6"/>
      <c r="U587" s="28" t="str">
        <f>HYPERLINK("https://media.infra-m.ru/1977/1977958/cover/1977958.jpg", "Обложка")</f>
        <v>Обложка</v>
      </c>
      <c r="V587" s="28" t="str">
        <f>HYPERLINK("https://znanium.com/catalog/product/1876357", "Ознакомиться")</f>
        <v>Ознакомиться</v>
      </c>
      <c r="W587" s="8" t="s">
        <v>78</v>
      </c>
      <c r="X587" s="6"/>
      <c r="Y587" s="6"/>
      <c r="Z587" s="6"/>
      <c r="AA587" s="6" t="s">
        <v>229</v>
      </c>
    </row>
    <row r="588" spans="1:27" s="4" customFormat="1" ht="51.95" customHeight="1">
      <c r="A588" s="5">
        <v>0</v>
      </c>
      <c r="B588" s="6" t="s">
        <v>3336</v>
      </c>
      <c r="C588" s="7">
        <v>374.9</v>
      </c>
      <c r="D588" s="8" t="s">
        <v>3337</v>
      </c>
      <c r="E588" s="8" t="s">
        <v>3338</v>
      </c>
      <c r="F588" s="8" t="s">
        <v>3339</v>
      </c>
      <c r="G588" s="6" t="s">
        <v>51</v>
      </c>
      <c r="H588" s="6" t="s">
        <v>52</v>
      </c>
      <c r="I588" s="8" t="s">
        <v>2557</v>
      </c>
      <c r="J588" s="9">
        <v>1</v>
      </c>
      <c r="K588" s="9">
        <v>189</v>
      </c>
      <c r="L588" s="9">
        <v>2019</v>
      </c>
      <c r="M588" s="8" t="s">
        <v>3340</v>
      </c>
      <c r="N588" s="8" t="s">
        <v>40</v>
      </c>
      <c r="O588" s="8" t="s">
        <v>41</v>
      </c>
      <c r="P588" s="6" t="s">
        <v>75</v>
      </c>
      <c r="Q588" s="8" t="s">
        <v>76</v>
      </c>
      <c r="R588" s="10" t="s">
        <v>122</v>
      </c>
      <c r="S588" s="11"/>
      <c r="T588" s="6"/>
      <c r="U588" s="28" t="str">
        <f>HYPERLINK("https://media.infra-m.ru/1002/1002349/cover/1002349.jpg", "Обложка")</f>
        <v>Обложка</v>
      </c>
      <c r="V588" s="28" t="str">
        <f>HYPERLINK("https://znanium.com/catalog/product/1002349", "Ознакомиться")</f>
        <v>Ознакомиться</v>
      </c>
      <c r="W588" s="8" t="s">
        <v>3341</v>
      </c>
      <c r="X588" s="6"/>
      <c r="Y588" s="6"/>
      <c r="Z588" s="6"/>
      <c r="AA588" s="6" t="s">
        <v>2622</v>
      </c>
    </row>
    <row r="589" spans="1:27" s="4" customFormat="1" ht="42" customHeight="1">
      <c r="A589" s="5">
        <v>0</v>
      </c>
      <c r="B589" s="6" t="s">
        <v>3342</v>
      </c>
      <c r="C589" s="7">
        <v>69.900000000000006</v>
      </c>
      <c r="D589" s="8" t="s">
        <v>3343</v>
      </c>
      <c r="E589" s="8" t="s">
        <v>3344</v>
      </c>
      <c r="F589" s="8"/>
      <c r="G589" s="6" t="s">
        <v>26</v>
      </c>
      <c r="H589" s="6" t="s">
        <v>52</v>
      </c>
      <c r="I589" s="8" t="s">
        <v>226</v>
      </c>
      <c r="J589" s="9">
        <v>100</v>
      </c>
      <c r="K589" s="9">
        <v>110</v>
      </c>
      <c r="L589" s="9">
        <v>2016</v>
      </c>
      <c r="M589" s="8" t="s">
        <v>3345</v>
      </c>
      <c r="N589" s="8" t="s">
        <v>40</v>
      </c>
      <c r="O589" s="8" t="s">
        <v>41</v>
      </c>
      <c r="P589" s="6" t="s">
        <v>228</v>
      </c>
      <c r="Q589" s="8" t="s">
        <v>76</v>
      </c>
      <c r="R589" s="10" t="s">
        <v>304</v>
      </c>
      <c r="S589" s="11"/>
      <c r="T589" s="6"/>
      <c r="U589" s="28" t="str">
        <f>HYPERLINK("https://media.infra-m.ru/0522/0522355/cover/522355.jpg", "Обложка")</f>
        <v>Обложка</v>
      </c>
      <c r="V589" s="28" t="str">
        <f>HYPERLINK("https://znanium.com/catalog/product/522355", "Ознакомиться")</f>
        <v>Ознакомиться</v>
      </c>
      <c r="W589" s="8"/>
      <c r="X589" s="6"/>
      <c r="Y589" s="6"/>
      <c r="Z589" s="6"/>
      <c r="AA589" s="6" t="s">
        <v>2582</v>
      </c>
    </row>
    <row r="590" spans="1:27" s="4" customFormat="1" ht="44.1" customHeight="1">
      <c r="A590" s="5">
        <v>0</v>
      </c>
      <c r="B590" s="6" t="s">
        <v>3346</v>
      </c>
      <c r="C590" s="13">
        <v>1250</v>
      </c>
      <c r="D590" s="8" t="s">
        <v>3347</v>
      </c>
      <c r="E590" s="8" t="s">
        <v>3348</v>
      </c>
      <c r="F590" s="8" t="s">
        <v>3349</v>
      </c>
      <c r="G590" s="6" t="s">
        <v>51</v>
      </c>
      <c r="H590" s="6" t="s">
        <v>1916</v>
      </c>
      <c r="I590" s="8"/>
      <c r="J590" s="9">
        <v>1</v>
      </c>
      <c r="K590" s="9">
        <v>272</v>
      </c>
      <c r="L590" s="9">
        <v>2023</v>
      </c>
      <c r="M590" s="8" t="s">
        <v>3350</v>
      </c>
      <c r="N590" s="8" t="s">
        <v>40</v>
      </c>
      <c r="O590" s="8" t="s">
        <v>41</v>
      </c>
      <c r="P590" s="6" t="s">
        <v>42</v>
      </c>
      <c r="Q590" s="8" t="s">
        <v>43</v>
      </c>
      <c r="R590" s="10" t="s">
        <v>3351</v>
      </c>
      <c r="S590" s="11"/>
      <c r="T590" s="6"/>
      <c r="U590" s="28" t="str">
        <f>HYPERLINK("https://media.infra-m.ru/2063/2063356/cover/2063356.jpg", "Обложка")</f>
        <v>Обложка</v>
      </c>
      <c r="V590" s="28" t="str">
        <f>HYPERLINK("https://znanium.com/catalog/product/1077286", "Ознакомиться")</f>
        <v>Ознакомиться</v>
      </c>
      <c r="W590" s="8" t="s">
        <v>3352</v>
      </c>
      <c r="X590" s="6"/>
      <c r="Y590" s="6"/>
      <c r="Z590" s="6"/>
      <c r="AA590" s="6" t="s">
        <v>422</v>
      </c>
    </row>
    <row r="591" spans="1:27" s="4" customFormat="1" ht="51.95" customHeight="1">
      <c r="A591" s="5">
        <v>0</v>
      </c>
      <c r="B591" s="6" t="s">
        <v>3353</v>
      </c>
      <c r="C591" s="7">
        <v>750</v>
      </c>
      <c r="D591" s="8" t="s">
        <v>3354</v>
      </c>
      <c r="E591" s="8" t="s">
        <v>3355</v>
      </c>
      <c r="F591" s="8" t="s">
        <v>1922</v>
      </c>
      <c r="G591" s="6" t="s">
        <v>51</v>
      </c>
      <c r="H591" s="6" t="s">
        <v>84</v>
      </c>
      <c r="I591" s="8" t="s">
        <v>251</v>
      </c>
      <c r="J591" s="9">
        <v>1</v>
      </c>
      <c r="K591" s="9">
        <v>153</v>
      </c>
      <c r="L591" s="9">
        <v>2023</v>
      </c>
      <c r="M591" s="8" t="s">
        <v>3356</v>
      </c>
      <c r="N591" s="8" t="s">
        <v>40</v>
      </c>
      <c r="O591" s="8" t="s">
        <v>41</v>
      </c>
      <c r="P591" s="6" t="s">
        <v>42</v>
      </c>
      <c r="Q591" s="8" t="s">
        <v>43</v>
      </c>
      <c r="R591" s="10" t="s">
        <v>3357</v>
      </c>
      <c r="S591" s="11"/>
      <c r="T591" s="6"/>
      <c r="U591" s="28" t="str">
        <f>HYPERLINK("https://media.infra-m.ru/1903/1903356/cover/1903356.jpg", "Обложка")</f>
        <v>Обложка</v>
      </c>
      <c r="V591" s="28" t="str">
        <f>HYPERLINK("https://znanium.com/catalog/product/1903356", "Ознакомиться")</f>
        <v>Ознакомиться</v>
      </c>
      <c r="W591" s="8" t="s">
        <v>813</v>
      </c>
      <c r="X591" s="6" t="s">
        <v>904</v>
      </c>
      <c r="Y591" s="6"/>
      <c r="Z591" s="6"/>
      <c r="AA591" s="6" t="s">
        <v>408</v>
      </c>
    </row>
    <row r="592" spans="1:27" s="4" customFormat="1" ht="42" customHeight="1">
      <c r="A592" s="5">
        <v>0</v>
      </c>
      <c r="B592" s="6" t="s">
        <v>3358</v>
      </c>
      <c r="C592" s="7">
        <v>790</v>
      </c>
      <c r="D592" s="8" t="s">
        <v>3359</v>
      </c>
      <c r="E592" s="8" t="s">
        <v>3360</v>
      </c>
      <c r="F592" s="8" t="s">
        <v>3361</v>
      </c>
      <c r="G592" s="6" t="s">
        <v>51</v>
      </c>
      <c r="H592" s="6" t="s">
        <v>84</v>
      </c>
      <c r="I592" s="8" t="s">
        <v>251</v>
      </c>
      <c r="J592" s="9">
        <v>1</v>
      </c>
      <c r="K592" s="9">
        <v>167</v>
      </c>
      <c r="L592" s="9">
        <v>2022</v>
      </c>
      <c r="M592" s="8" t="s">
        <v>3362</v>
      </c>
      <c r="N592" s="8" t="s">
        <v>40</v>
      </c>
      <c r="O592" s="8" t="s">
        <v>41</v>
      </c>
      <c r="P592" s="6" t="s">
        <v>42</v>
      </c>
      <c r="Q592" s="8" t="s">
        <v>43</v>
      </c>
      <c r="R592" s="10" t="s">
        <v>69</v>
      </c>
      <c r="S592" s="11"/>
      <c r="T592" s="6"/>
      <c r="U592" s="28" t="str">
        <f>HYPERLINK("https://media.infra-m.ru/1871/1871444/cover/1871444.jpg", "Обложка")</f>
        <v>Обложка</v>
      </c>
      <c r="V592" s="28" t="str">
        <f>HYPERLINK("https://znanium.com/catalog/product/1871444", "Ознакомиться")</f>
        <v>Ознакомиться</v>
      </c>
      <c r="W592" s="8" t="s">
        <v>1362</v>
      </c>
      <c r="X592" s="6"/>
      <c r="Y592" s="6"/>
      <c r="Z592" s="6"/>
      <c r="AA592" s="6" t="s">
        <v>343</v>
      </c>
    </row>
    <row r="593" spans="1:27" s="4" customFormat="1" ht="51.95" customHeight="1">
      <c r="A593" s="5">
        <v>0</v>
      </c>
      <c r="B593" s="6" t="s">
        <v>3363</v>
      </c>
      <c r="C593" s="13">
        <v>1590</v>
      </c>
      <c r="D593" s="8" t="s">
        <v>3364</v>
      </c>
      <c r="E593" s="8" t="s">
        <v>3365</v>
      </c>
      <c r="F593" s="8" t="s">
        <v>3366</v>
      </c>
      <c r="G593" s="6" t="s">
        <v>37</v>
      </c>
      <c r="H593" s="6" t="s">
        <v>84</v>
      </c>
      <c r="I593" s="8" t="s">
        <v>251</v>
      </c>
      <c r="J593" s="9">
        <v>1</v>
      </c>
      <c r="K593" s="9">
        <v>378</v>
      </c>
      <c r="L593" s="9">
        <v>2022</v>
      </c>
      <c r="M593" s="8" t="s">
        <v>3367</v>
      </c>
      <c r="N593" s="8" t="s">
        <v>40</v>
      </c>
      <c r="O593" s="8" t="s">
        <v>41</v>
      </c>
      <c r="P593" s="6" t="s">
        <v>42</v>
      </c>
      <c r="Q593" s="8" t="s">
        <v>43</v>
      </c>
      <c r="R593" s="10" t="s">
        <v>310</v>
      </c>
      <c r="S593" s="11"/>
      <c r="T593" s="6"/>
      <c r="U593" s="28" t="str">
        <f>HYPERLINK("https://media.infra-m.ru/1869/1869003/cover/1869003.jpg", "Обложка")</f>
        <v>Обложка</v>
      </c>
      <c r="V593" s="28" t="str">
        <f>HYPERLINK("https://znanium.com/catalog/product/1869003", "Ознакомиться")</f>
        <v>Ознакомиться</v>
      </c>
      <c r="W593" s="8" t="s">
        <v>237</v>
      </c>
      <c r="X593" s="6"/>
      <c r="Y593" s="6"/>
      <c r="Z593" s="6"/>
      <c r="AA593" s="6" t="s">
        <v>46</v>
      </c>
    </row>
    <row r="594" spans="1:27" s="4" customFormat="1" ht="51.95" customHeight="1">
      <c r="A594" s="5">
        <v>0</v>
      </c>
      <c r="B594" s="6" t="s">
        <v>3368</v>
      </c>
      <c r="C594" s="7">
        <v>750</v>
      </c>
      <c r="D594" s="8" t="s">
        <v>3369</v>
      </c>
      <c r="E594" s="8" t="s">
        <v>3370</v>
      </c>
      <c r="F594" s="8" t="s">
        <v>3371</v>
      </c>
      <c r="G594" s="6" t="s">
        <v>51</v>
      </c>
      <c r="H594" s="6" t="s">
        <v>84</v>
      </c>
      <c r="I594" s="8" t="s">
        <v>251</v>
      </c>
      <c r="J594" s="9">
        <v>1</v>
      </c>
      <c r="K594" s="9">
        <v>187</v>
      </c>
      <c r="L594" s="9">
        <v>2022</v>
      </c>
      <c r="M594" s="8" t="s">
        <v>3372</v>
      </c>
      <c r="N594" s="8" t="s">
        <v>40</v>
      </c>
      <c r="O594" s="8" t="s">
        <v>41</v>
      </c>
      <c r="P594" s="6" t="s">
        <v>42</v>
      </c>
      <c r="Q594" s="8" t="s">
        <v>43</v>
      </c>
      <c r="R594" s="10" t="s">
        <v>473</v>
      </c>
      <c r="S594" s="11"/>
      <c r="T594" s="6"/>
      <c r="U594" s="28" t="str">
        <f>HYPERLINK("https://media.infra-m.ru/1587/1587438/cover/1587438.jpg", "Обложка")</f>
        <v>Обложка</v>
      </c>
      <c r="V594" s="28" t="str">
        <f>HYPERLINK("https://znanium.com/catalog/product/1587438", "Ознакомиться")</f>
        <v>Ознакомиться</v>
      </c>
      <c r="W594" s="8"/>
      <c r="X594" s="6"/>
      <c r="Y594" s="6"/>
      <c r="Z594" s="6"/>
      <c r="AA594" s="6" t="s">
        <v>343</v>
      </c>
    </row>
    <row r="595" spans="1:27" s="4" customFormat="1" ht="51.95" customHeight="1">
      <c r="A595" s="5">
        <v>0</v>
      </c>
      <c r="B595" s="6" t="s">
        <v>3373</v>
      </c>
      <c r="C595" s="7">
        <v>744.9</v>
      </c>
      <c r="D595" s="8" t="s">
        <v>3374</v>
      </c>
      <c r="E595" s="8" t="s">
        <v>3375</v>
      </c>
      <c r="F595" s="8" t="s">
        <v>3376</v>
      </c>
      <c r="G595" s="6" t="s">
        <v>58</v>
      </c>
      <c r="H595" s="6" t="s">
        <v>38</v>
      </c>
      <c r="I595" s="8"/>
      <c r="J595" s="9">
        <v>1</v>
      </c>
      <c r="K595" s="9">
        <v>208</v>
      </c>
      <c r="L595" s="9">
        <v>2021</v>
      </c>
      <c r="M595" s="8" t="s">
        <v>3377</v>
      </c>
      <c r="N595" s="8" t="s">
        <v>40</v>
      </c>
      <c r="O595" s="8" t="s">
        <v>41</v>
      </c>
      <c r="P595" s="6" t="s">
        <v>75</v>
      </c>
      <c r="Q595" s="8" t="s">
        <v>157</v>
      </c>
      <c r="R595" s="10" t="s">
        <v>3255</v>
      </c>
      <c r="S595" s="11"/>
      <c r="T595" s="6"/>
      <c r="U595" s="28" t="str">
        <f>HYPERLINK("https://media.infra-m.ru/1324/1324179/cover/1324179.jpg", "Обложка")</f>
        <v>Обложка</v>
      </c>
      <c r="V595" s="28" t="str">
        <f>HYPERLINK("https://znanium.com/catalog/product/1324179", "Ознакомиться")</f>
        <v>Ознакомиться</v>
      </c>
      <c r="W595" s="8" t="s">
        <v>114</v>
      </c>
      <c r="X595" s="6"/>
      <c r="Y595" s="6"/>
      <c r="Z595" s="6"/>
      <c r="AA595" s="6" t="s">
        <v>148</v>
      </c>
    </row>
    <row r="596" spans="1:27" s="4" customFormat="1" ht="51.95" customHeight="1">
      <c r="A596" s="5">
        <v>0</v>
      </c>
      <c r="B596" s="6" t="s">
        <v>3378</v>
      </c>
      <c r="C596" s="13">
        <v>1994</v>
      </c>
      <c r="D596" s="8" t="s">
        <v>3379</v>
      </c>
      <c r="E596" s="8" t="s">
        <v>3380</v>
      </c>
      <c r="F596" s="8" t="s">
        <v>3381</v>
      </c>
      <c r="G596" s="6" t="s">
        <v>58</v>
      </c>
      <c r="H596" s="6" t="s">
        <v>38</v>
      </c>
      <c r="I596" s="8"/>
      <c r="J596" s="9">
        <v>1</v>
      </c>
      <c r="K596" s="9">
        <v>448</v>
      </c>
      <c r="L596" s="9">
        <v>2023</v>
      </c>
      <c r="M596" s="8" t="s">
        <v>3382</v>
      </c>
      <c r="N596" s="8" t="s">
        <v>40</v>
      </c>
      <c r="O596" s="8" t="s">
        <v>41</v>
      </c>
      <c r="P596" s="6" t="s">
        <v>95</v>
      </c>
      <c r="Q596" s="8" t="s">
        <v>157</v>
      </c>
      <c r="R596" s="10" t="s">
        <v>318</v>
      </c>
      <c r="S596" s="11"/>
      <c r="T596" s="6"/>
      <c r="U596" s="28" t="str">
        <f>HYPERLINK("https://media.infra-m.ru/2006/2006022/cover/2006022.jpg", "Обложка")</f>
        <v>Обложка</v>
      </c>
      <c r="V596" s="28" t="str">
        <f>HYPERLINK("https://znanium.com/catalog/product/1063656", "Ознакомиться")</f>
        <v>Ознакомиться</v>
      </c>
      <c r="W596" s="8" t="s">
        <v>114</v>
      </c>
      <c r="X596" s="6"/>
      <c r="Y596" s="6"/>
      <c r="Z596" s="6"/>
      <c r="AA596" s="6" t="s">
        <v>148</v>
      </c>
    </row>
    <row r="597" spans="1:27" s="4" customFormat="1" ht="42" customHeight="1">
      <c r="A597" s="5">
        <v>0</v>
      </c>
      <c r="B597" s="6" t="s">
        <v>3383</v>
      </c>
      <c r="C597" s="7">
        <v>720</v>
      </c>
      <c r="D597" s="8" t="s">
        <v>3384</v>
      </c>
      <c r="E597" s="8" t="s">
        <v>3385</v>
      </c>
      <c r="F597" s="8" t="s">
        <v>3386</v>
      </c>
      <c r="G597" s="6" t="s">
        <v>51</v>
      </c>
      <c r="H597" s="6" t="s">
        <v>38</v>
      </c>
      <c r="I597" s="8"/>
      <c r="J597" s="9">
        <v>1</v>
      </c>
      <c r="K597" s="9">
        <v>160</v>
      </c>
      <c r="L597" s="9">
        <v>2023</v>
      </c>
      <c r="M597" s="8" t="s">
        <v>3387</v>
      </c>
      <c r="N597" s="8" t="s">
        <v>40</v>
      </c>
      <c r="O597" s="8" t="s">
        <v>41</v>
      </c>
      <c r="P597" s="6" t="s">
        <v>42</v>
      </c>
      <c r="Q597" s="8" t="s">
        <v>43</v>
      </c>
      <c r="R597" s="10" t="s">
        <v>310</v>
      </c>
      <c r="S597" s="11"/>
      <c r="T597" s="6"/>
      <c r="U597" s="28" t="str">
        <f>HYPERLINK("https://media.infra-m.ru/1911/1911498/cover/1911498.jpg", "Обложка")</f>
        <v>Обложка</v>
      </c>
      <c r="V597" s="28" t="str">
        <f>HYPERLINK("https://znanium.com/catalog/product/1911498", "Ознакомиться")</f>
        <v>Ознакомиться</v>
      </c>
      <c r="W597" s="8" t="s">
        <v>1482</v>
      </c>
      <c r="X597" s="6"/>
      <c r="Y597" s="6"/>
      <c r="Z597" s="6"/>
      <c r="AA597" s="6" t="s">
        <v>415</v>
      </c>
    </row>
    <row r="598" spans="1:27" s="4" customFormat="1" ht="42" customHeight="1">
      <c r="A598" s="5">
        <v>0</v>
      </c>
      <c r="B598" s="6" t="s">
        <v>3388</v>
      </c>
      <c r="C598" s="13">
        <v>1364.9</v>
      </c>
      <c r="D598" s="8" t="s">
        <v>3389</v>
      </c>
      <c r="E598" s="8" t="s">
        <v>3390</v>
      </c>
      <c r="F598" s="8" t="s">
        <v>3391</v>
      </c>
      <c r="G598" s="6" t="s">
        <v>58</v>
      </c>
      <c r="H598" s="6" t="s">
        <v>84</v>
      </c>
      <c r="I598" s="8" t="s">
        <v>1525</v>
      </c>
      <c r="J598" s="9">
        <v>1</v>
      </c>
      <c r="K598" s="9">
        <v>350</v>
      </c>
      <c r="L598" s="9">
        <v>2022</v>
      </c>
      <c r="M598" s="8" t="s">
        <v>3392</v>
      </c>
      <c r="N598" s="8" t="s">
        <v>40</v>
      </c>
      <c r="O598" s="8" t="s">
        <v>41</v>
      </c>
      <c r="P598" s="6" t="s">
        <v>42</v>
      </c>
      <c r="Q598" s="8" t="s">
        <v>43</v>
      </c>
      <c r="R598" s="10" t="s">
        <v>310</v>
      </c>
      <c r="S598" s="11"/>
      <c r="T598" s="6"/>
      <c r="U598" s="28" t="str">
        <f>HYPERLINK("https://media.infra-m.ru/1843/1843592/cover/1843592.jpg", "Обложка")</f>
        <v>Обложка</v>
      </c>
      <c r="V598" s="28" t="str">
        <f>HYPERLINK("https://znanium.com/catalog/product/1843592", "Ознакомиться")</f>
        <v>Ознакомиться</v>
      </c>
      <c r="W598" s="8" t="s">
        <v>414</v>
      </c>
      <c r="X598" s="6"/>
      <c r="Y598" s="6"/>
      <c r="Z598" s="6"/>
      <c r="AA598" s="6" t="s">
        <v>415</v>
      </c>
    </row>
    <row r="599" spans="1:27" s="4" customFormat="1" ht="51.95" customHeight="1">
      <c r="A599" s="5">
        <v>0</v>
      </c>
      <c r="B599" s="6" t="s">
        <v>3393</v>
      </c>
      <c r="C599" s="7">
        <v>874.9</v>
      </c>
      <c r="D599" s="8" t="s">
        <v>3394</v>
      </c>
      <c r="E599" s="8" t="s">
        <v>3395</v>
      </c>
      <c r="F599" s="8" t="s">
        <v>3396</v>
      </c>
      <c r="G599" s="6" t="s">
        <v>51</v>
      </c>
      <c r="H599" s="6" t="s">
        <v>38</v>
      </c>
      <c r="I599" s="8"/>
      <c r="J599" s="9">
        <v>1</v>
      </c>
      <c r="K599" s="9">
        <v>256</v>
      </c>
      <c r="L599" s="9">
        <v>2019</v>
      </c>
      <c r="M599" s="8" t="s">
        <v>3397</v>
      </c>
      <c r="N599" s="8" t="s">
        <v>40</v>
      </c>
      <c r="O599" s="8" t="s">
        <v>41</v>
      </c>
      <c r="P599" s="6" t="s">
        <v>42</v>
      </c>
      <c r="Q599" s="8" t="s">
        <v>296</v>
      </c>
      <c r="R599" s="10" t="s">
        <v>3398</v>
      </c>
      <c r="S599" s="11"/>
      <c r="T599" s="6"/>
      <c r="U599" s="28" t="str">
        <f>HYPERLINK("https://media.infra-m.ru/0959/0959895/cover/959895.jpg", "Обложка")</f>
        <v>Обложка</v>
      </c>
      <c r="V599" s="28" t="str">
        <f>HYPERLINK("https://znanium.com/catalog/product/959895", "Ознакомиться")</f>
        <v>Ознакомиться</v>
      </c>
      <c r="W599" s="8" t="s">
        <v>124</v>
      </c>
      <c r="X599" s="6"/>
      <c r="Y599" s="6"/>
      <c r="Z599" s="6"/>
      <c r="AA599" s="6" t="s">
        <v>88</v>
      </c>
    </row>
    <row r="600" spans="1:27" s="4" customFormat="1" ht="51.95" customHeight="1">
      <c r="A600" s="5">
        <v>0</v>
      </c>
      <c r="B600" s="6" t="s">
        <v>3399</v>
      </c>
      <c r="C600" s="13">
        <v>1134</v>
      </c>
      <c r="D600" s="8" t="s">
        <v>3400</v>
      </c>
      <c r="E600" s="8" t="s">
        <v>3401</v>
      </c>
      <c r="F600" s="8" t="s">
        <v>3402</v>
      </c>
      <c r="G600" s="6" t="s">
        <v>51</v>
      </c>
      <c r="H600" s="6" t="s">
        <v>84</v>
      </c>
      <c r="I600" s="8" t="s">
        <v>251</v>
      </c>
      <c r="J600" s="9">
        <v>1</v>
      </c>
      <c r="K600" s="9">
        <v>249</v>
      </c>
      <c r="L600" s="9">
        <v>2023</v>
      </c>
      <c r="M600" s="8" t="s">
        <v>3403</v>
      </c>
      <c r="N600" s="8" t="s">
        <v>40</v>
      </c>
      <c r="O600" s="8" t="s">
        <v>41</v>
      </c>
      <c r="P600" s="6" t="s">
        <v>42</v>
      </c>
      <c r="Q600" s="8" t="s">
        <v>43</v>
      </c>
      <c r="R600" s="10" t="s">
        <v>3404</v>
      </c>
      <c r="S600" s="11"/>
      <c r="T600" s="6"/>
      <c r="U600" s="28" t="str">
        <f>HYPERLINK("https://media.infra-m.ru/2006/2006938/cover/2006938.jpg", "Обложка")</f>
        <v>Обложка</v>
      </c>
      <c r="V600" s="28" t="str">
        <f>HYPERLINK("https://znanium.com/catalog/product/1002633", "Ознакомиться")</f>
        <v>Ознакомиться</v>
      </c>
      <c r="W600" s="8" t="s">
        <v>334</v>
      </c>
      <c r="X600" s="6"/>
      <c r="Y600" s="6"/>
      <c r="Z600" s="6"/>
      <c r="AA600" s="6" t="s">
        <v>46</v>
      </c>
    </row>
    <row r="601" spans="1:27" s="4" customFormat="1" ht="44.1" customHeight="1">
      <c r="A601" s="5">
        <v>0</v>
      </c>
      <c r="B601" s="6" t="s">
        <v>3405</v>
      </c>
      <c r="C601" s="7">
        <v>579.9</v>
      </c>
      <c r="D601" s="8" t="s">
        <v>3406</v>
      </c>
      <c r="E601" s="8" t="s">
        <v>3407</v>
      </c>
      <c r="F601" s="8" t="s">
        <v>3408</v>
      </c>
      <c r="G601" s="6" t="s">
        <v>58</v>
      </c>
      <c r="H601" s="6" t="s">
        <v>38</v>
      </c>
      <c r="I601" s="8"/>
      <c r="J601" s="9">
        <v>1</v>
      </c>
      <c r="K601" s="9">
        <v>136</v>
      </c>
      <c r="L601" s="9">
        <v>2020</v>
      </c>
      <c r="M601" s="8" t="s">
        <v>3409</v>
      </c>
      <c r="N601" s="8" t="s">
        <v>40</v>
      </c>
      <c r="O601" s="8" t="s">
        <v>41</v>
      </c>
      <c r="P601" s="6" t="s">
        <v>42</v>
      </c>
      <c r="Q601" s="8" t="s">
        <v>43</v>
      </c>
      <c r="R601" s="10" t="s">
        <v>2195</v>
      </c>
      <c r="S601" s="11"/>
      <c r="T601" s="6"/>
      <c r="U601" s="28" t="str">
        <f>HYPERLINK("https://media.infra-m.ru/1203/1203870/cover/1203870.jpg", "Обложка")</f>
        <v>Обложка</v>
      </c>
      <c r="V601" s="28" t="str">
        <f>HYPERLINK("https://znanium.com/catalog/product/1118461", "Ознакомиться")</f>
        <v>Ознакомиться</v>
      </c>
      <c r="W601" s="8" t="s">
        <v>3410</v>
      </c>
      <c r="X601" s="6"/>
      <c r="Y601" s="6"/>
      <c r="Z601" s="6"/>
      <c r="AA601" s="6" t="s">
        <v>115</v>
      </c>
    </row>
    <row r="602" spans="1:27" s="4" customFormat="1" ht="42" customHeight="1">
      <c r="A602" s="5">
        <v>0</v>
      </c>
      <c r="B602" s="6" t="s">
        <v>3411</v>
      </c>
      <c r="C602" s="7">
        <v>501.9</v>
      </c>
      <c r="D602" s="8" t="s">
        <v>3412</v>
      </c>
      <c r="E602" s="8" t="s">
        <v>3413</v>
      </c>
      <c r="F602" s="8" t="s">
        <v>166</v>
      </c>
      <c r="G602" s="6" t="s">
        <v>58</v>
      </c>
      <c r="H602" s="6" t="s">
        <v>38</v>
      </c>
      <c r="I602" s="8"/>
      <c r="J602" s="14">
        <v>0</v>
      </c>
      <c r="K602" s="9">
        <v>320</v>
      </c>
      <c r="L602" s="9">
        <v>2015</v>
      </c>
      <c r="M602" s="8" t="s">
        <v>3414</v>
      </c>
      <c r="N602" s="8" t="s">
        <v>40</v>
      </c>
      <c r="O602" s="8" t="s">
        <v>41</v>
      </c>
      <c r="P602" s="6" t="s">
        <v>42</v>
      </c>
      <c r="Q602" s="8" t="s">
        <v>43</v>
      </c>
      <c r="R602" s="10" t="s">
        <v>776</v>
      </c>
      <c r="S602" s="11"/>
      <c r="T602" s="6"/>
      <c r="U602" s="28" t="str">
        <f>HYPERLINK("https://media.infra-m.ru/0765/0765820/cover/765820.jpg", "Обложка")</f>
        <v>Обложка</v>
      </c>
      <c r="V602" s="28" t="str">
        <f>HYPERLINK("https://znanium.com/catalog/product/501272", "Ознакомиться")</f>
        <v>Ознакомиться</v>
      </c>
      <c r="W602" s="8" t="s">
        <v>170</v>
      </c>
      <c r="X602" s="6"/>
      <c r="Y602" s="6"/>
      <c r="Z602" s="6"/>
      <c r="AA602" s="6" t="s">
        <v>298</v>
      </c>
    </row>
    <row r="603" spans="1:27" s="4" customFormat="1" ht="42" customHeight="1">
      <c r="A603" s="5">
        <v>0</v>
      </c>
      <c r="B603" s="6" t="s">
        <v>3415</v>
      </c>
      <c r="C603" s="7">
        <v>570</v>
      </c>
      <c r="D603" s="8" t="s">
        <v>3416</v>
      </c>
      <c r="E603" s="8" t="s">
        <v>3417</v>
      </c>
      <c r="F603" s="8" t="s">
        <v>3418</v>
      </c>
      <c r="G603" s="6" t="s">
        <v>51</v>
      </c>
      <c r="H603" s="6" t="s">
        <v>84</v>
      </c>
      <c r="I603" s="8"/>
      <c r="J603" s="9">
        <v>1</v>
      </c>
      <c r="K603" s="9">
        <v>162</v>
      </c>
      <c r="L603" s="9">
        <v>2020</v>
      </c>
      <c r="M603" s="8" t="s">
        <v>3419</v>
      </c>
      <c r="N603" s="8" t="s">
        <v>40</v>
      </c>
      <c r="O603" s="8" t="s">
        <v>41</v>
      </c>
      <c r="P603" s="6" t="s">
        <v>42</v>
      </c>
      <c r="Q603" s="8" t="s">
        <v>43</v>
      </c>
      <c r="R603" s="10" t="s">
        <v>310</v>
      </c>
      <c r="S603" s="11"/>
      <c r="T603" s="6"/>
      <c r="U603" s="28" t="str">
        <f>HYPERLINK("https://media.infra-m.ru/1095/1095446/cover/1095446.jpg", "Обложка")</f>
        <v>Обложка</v>
      </c>
      <c r="V603" s="28" t="str">
        <f>HYPERLINK("https://znanium.com/catalog/product/1095446", "Ознакомиться")</f>
        <v>Ознакомиться</v>
      </c>
      <c r="W603" s="8" t="s">
        <v>124</v>
      </c>
      <c r="X603" s="6"/>
      <c r="Y603" s="6"/>
      <c r="Z603" s="6"/>
      <c r="AA603" s="6" t="s">
        <v>298</v>
      </c>
    </row>
    <row r="604" spans="1:27" s="4" customFormat="1" ht="42" customHeight="1">
      <c r="A604" s="5">
        <v>0</v>
      </c>
      <c r="B604" s="6" t="s">
        <v>3420</v>
      </c>
      <c r="C604" s="13">
        <v>1044</v>
      </c>
      <c r="D604" s="8" t="s">
        <v>3421</v>
      </c>
      <c r="E604" s="8" t="s">
        <v>3422</v>
      </c>
      <c r="F604" s="8" t="s">
        <v>3423</v>
      </c>
      <c r="G604" s="6" t="s">
        <v>51</v>
      </c>
      <c r="H604" s="6" t="s">
        <v>52</v>
      </c>
      <c r="I604" s="8" t="s">
        <v>251</v>
      </c>
      <c r="J604" s="9">
        <v>1</v>
      </c>
      <c r="K604" s="9">
        <v>231</v>
      </c>
      <c r="L604" s="9">
        <v>2023</v>
      </c>
      <c r="M604" s="8" t="s">
        <v>3424</v>
      </c>
      <c r="N604" s="8" t="s">
        <v>40</v>
      </c>
      <c r="O604" s="8" t="s">
        <v>41</v>
      </c>
      <c r="P604" s="6" t="s">
        <v>42</v>
      </c>
      <c r="Q604" s="8" t="s">
        <v>43</v>
      </c>
      <c r="R604" s="10" t="s">
        <v>310</v>
      </c>
      <c r="S604" s="11"/>
      <c r="T604" s="6"/>
      <c r="U604" s="28" t="str">
        <f>HYPERLINK("https://media.infra-m.ru/1911/1911111/cover/1911111.jpg", "Обложка")</f>
        <v>Обложка</v>
      </c>
      <c r="V604" s="28" t="str">
        <f>HYPERLINK("https://znanium.com/catalog/product/549742", "Ознакомиться")</f>
        <v>Ознакомиться</v>
      </c>
      <c r="W604" s="8" t="s">
        <v>458</v>
      </c>
      <c r="X604" s="6"/>
      <c r="Y604" s="6"/>
      <c r="Z604" s="6"/>
      <c r="AA604" s="6" t="s">
        <v>171</v>
      </c>
    </row>
    <row r="605" spans="1:27" s="4" customFormat="1" ht="42" customHeight="1">
      <c r="A605" s="5">
        <v>0</v>
      </c>
      <c r="B605" s="6" t="s">
        <v>3425</v>
      </c>
      <c r="C605" s="7">
        <v>814.9</v>
      </c>
      <c r="D605" s="8" t="s">
        <v>3426</v>
      </c>
      <c r="E605" s="8" t="s">
        <v>3427</v>
      </c>
      <c r="F605" s="8" t="s">
        <v>3423</v>
      </c>
      <c r="G605" s="6" t="s">
        <v>51</v>
      </c>
      <c r="H605" s="6" t="s">
        <v>52</v>
      </c>
      <c r="I605" s="8" t="s">
        <v>251</v>
      </c>
      <c r="J605" s="9">
        <v>1</v>
      </c>
      <c r="K605" s="9">
        <v>231</v>
      </c>
      <c r="L605" s="9">
        <v>2020</v>
      </c>
      <c r="M605" s="8" t="s">
        <v>3424</v>
      </c>
      <c r="N605" s="8" t="s">
        <v>40</v>
      </c>
      <c r="O605" s="8" t="s">
        <v>41</v>
      </c>
      <c r="P605" s="6" t="s">
        <v>42</v>
      </c>
      <c r="Q605" s="8" t="s">
        <v>43</v>
      </c>
      <c r="R605" s="10" t="s">
        <v>310</v>
      </c>
      <c r="S605" s="11"/>
      <c r="T605" s="6"/>
      <c r="U605" s="28" t="str">
        <f>HYPERLINK("https://media.infra-m.ru/1081/1081381/cover/1081381.jpg", "Обложка")</f>
        <v>Обложка</v>
      </c>
      <c r="V605" s="28" t="str">
        <f>HYPERLINK("https://znanium.com/catalog/product/549742", "Ознакомиться")</f>
        <v>Ознакомиться</v>
      </c>
      <c r="W605" s="8" t="s">
        <v>458</v>
      </c>
      <c r="X605" s="6"/>
      <c r="Y605" s="6"/>
      <c r="Z605" s="6"/>
      <c r="AA605" s="6" t="s">
        <v>422</v>
      </c>
    </row>
    <row r="606" spans="1:27" s="4" customFormat="1" ht="42" customHeight="1">
      <c r="A606" s="5">
        <v>0</v>
      </c>
      <c r="B606" s="6" t="s">
        <v>3428</v>
      </c>
      <c r="C606" s="13">
        <v>1494.9</v>
      </c>
      <c r="D606" s="8" t="s">
        <v>3429</v>
      </c>
      <c r="E606" s="8" t="s">
        <v>3430</v>
      </c>
      <c r="F606" s="8" t="s">
        <v>3431</v>
      </c>
      <c r="G606" s="6" t="s">
        <v>58</v>
      </c>
      <c r="H606" s="6" t="s">
        <v>38</v>
      </c>
      <c r="I606" s="8"/>
      <c r="J606" s="9">
        <v>1</v>
      </c>
      <c r="K606" s="9">
        <v>528</v>
      </c>
      <c r="L606" s="9">
        <v>2020</v>
      </c>
      <c r="M606" s="8" t="s">
        <v>3432</v>
      </c>
      <c r="N606" s="8" t="s">
        <v>40</v>
      </c>
      <c r="O606" s="8" t="s">
        <v>41</v>
      </c>
      <c r="P606" s="6" t="s">
        <v>42</v>
      </c>
      <c r="Q606" s="8" t="s">
        <v>43</v>
      </c>
      <c r="R606" s="10" t="s">
        <v>3433</v>
      </c>
      <c r="S606" s="11"/>
      <c r="T606" s="6"/>
      <c r="U606" s="28" t="str">
        <f>HYPERLINK("https://media.infra-m.ru/1079/1079857/cover/1079857.jpg", "Обложка")</f>
        <v>Обложка</v>
      </c>
      <c r="V606" s="28" t="str">
        <f>HYPERLINK("https://znanium.com/catalog/product/934502", "Ознакомиться")</f>
        <v>Ознакомиться</v>
      </c>
      <c r="W606" s="8" t="s">
        <v>414</v>
      </c>
      <c r="X606" s="6"/>
      <c r="Y606" s="6"/>
      <c r="Z606" s="6"/>
      <c r="AA606" s="6" t="s">
        <v>622</v>
      </c>
    </row>
    <row r="607" spans="1:27" s="4" customFormat="1" ht="51.95" customHeight="1">
      <c r="A607" s="5">
        <v>0</v>
      </c>
      <c r="B607" s="6" t="s">
        <v>3434</v>
      </c>
      <c r="C607" s="13">
        <v>2294.9</v>
      </c>
      <c r="D607" s="8" t="s">
        <v>3435</v>
      </c>
      <c r="E607" s="8" t="s">
        <v>3436</v>
      </c>
      <c r="F607" s="8" t="s">
        <v>3123</v>
      </c>
      <c r="G607" s="6" t="s">
        <v>58</v>
      </c>
      <c r="H607" s="6" t="s">
        <v>38</v>
      </c>
      <c r="I607" s="8"/>
      <c r="J607" s="9">
        <v>1</v>
      </c>
      <c r="K607" s="9">
        <v>736</v>
      </c>
      <c r="L607" s="9">
        <v>2022</v>
      </c>
      <c r="M607" s="8" t="s">
        <v>3437</v>
      </c>
      <c r="N607" s="8" t="s">
        <v>40</v>
      </c>
      <c r="O607" s="8" t="s">
        <v>41</v>
      </c>
      <c r="P607" s="6" t="s">
        <v>42</v>
      </c>
      <c r="Q607" s="8" t="s">
        <v>43</v>
      </c>
      <c r="R607" s="10" t="s">
        <v>122</v>
      </c>
      <c r="S607" s="11"/>
      <c r="T607" s="6"/>
      <c r="U607" s="28" t="str">
        <f>HYPERLINK("https://media.infra-m.ru/1867/1867876/cover/1867876.jpg", "Обложка")</f>
        <v>Обложка</v>
      </c>
      <c r="V607" s="28" t="str">
        <f>HYPERLINK("https://znanium.com/catalog/product/1200660", "Ознакомиться")</f>
        <v>Ознакомиться</v>
      </c>
      <c r="W607" s="8" t="s">
        <v>195</v>
      </c>
      <c r="X607" s="6"/>
      <c r="Y607" s="6"/>
      <c r="Z607" s="6"/>
      <c r="AA607" s="6" t="s">
        <v>415</v>
      </c>
    </row>
    <row r="608" spans="1:27" s="4" customFormat="1" ht="51.95" customHeight="1">
      <c r="A608" s="5">
        <v>0</v>
      </c>
      <c r="B608" s="6" t="s">
        <v>3438</v>
      </c>
      <c r="C608" s="13">
        <v>1300</v>
      </c>
      <c r="D608" s="8" t="s">
        <v>3439</v>
      </c>
      <c r="E608" s="8" t="s">
        <v>3440</v>
      </c>
      <c r="F608" s="8" t="s">
        <v>3441</v>
      </c>
      <c r="G608" s="6" t="s">
        <v>37</v>
      </c>
      <c r="H608" s="6" t="s">
        <v>84</v>
      </c>
      <c r="I608" s="8" t="s">
        <v>1140</v>
      </c>
      <c r="J608" s="9">
        <v>1</v>
      </c>
      <c r="K608" s="9">
        <v>255</v>
      </c>
      <c r="L608" s="9">
        <v>2023</v>
      </c>
      <c r="M608" s="8" t="s">
        <v>3442</v>
      </c>
      <c r="N608" s="8" t="s">
        <v>40</v>
      </c>
      <c r="O608" s="8" t="s">
        <v>41</v>
      </c>
      <c r="P608" s="6" t="s">
        <v>95</v>
      </c>
      <c r="Q608" s="8" t="s">
        <v>1199</v>
      </c>
      <c r="R608" s="10" t="s">
        <v>3443</v>
      </c>
      <c r="S608" s="11" t="s">
        <v>3444</v>
      </c>
      <c r="T608" s="6"/>
      <c r="U608" s="28" t="str">
        <f>HYPERLINK("https://media.infra-m.ru/2075/2075181/cover/2075181.jpg", "Обложка")</f>
        <v>Обложка</v>
      </c>
      <c r="V608" s="28" t="str">
        <f>HYPERLINK("https://znanium.com/catalog/product/1898395", "Ознакомиться")</f>
        <v>Ознакомиться</v>
      </c>
      <c r="W608" s="8" t="s">
        <v>124</v>
      </c>
      <c r="X608" s="6"/>
      <c r="Y608" s="6"/>
      <c r="Z608" s="6"/>
      <c r="AA608" s="6" t="s">
        <v>408</v>
      </c>
    </row>
    <row r="609" spans="1:27" s="4" customFormat="1" ht="51.95" customHeight="1">
      <c r="A609" s="5">
        <v>0</v>
      </c>
      <c r="B609" s="6" t="s">
        <v>3445</v>
      </c>
      <c r="C609" s="13">
        <v>1010</v>
      </c>
      <c r="D609" s="8" t="s">
        <v>3446</v>
      </c>
      <c r="E609" s="8" t="s">
        <v>3447</v>
      </c>
      <c r="F609" s="8" t="s">
        <v>3448</v>
      </c>
      <c r="G609" s="6" t="s">
        <v>51</v>
      </c>
      <c r="H609" s="6" t="s">
        <v>38</v>
      </c>
      <c r="I609" s="8"/>
      <c r="J609" s="9">
        <v>1</v>
      </c>
      <c r="K609" s="9">
        <v>224</v>
      </c>
      <c r="L609" s="9">
        <v>2023</v>
      </c>
      <c r="M609" s="8" t="s">
        <v>3449</v>
      </c>
      <c r="N609" s="8" t="s">
        <v>40</v>
      </c>
      <c r="O609" s="8" t="s">
        <v>41</v>
      </c>
      <c r="P609" s="6" t="s">
        <v>42</v>
      </c>
      <c r="Q609" s="8" t="s">
        <v>43</v>
      </c>
      <c r="R609" s="10" t="s">
        <v>452</v>
      </c>
      <c r="S609" s="11"/>
      <c r="T609" s="6"/>
      <c r="U609" s="28" t="str">
        <f>HYPERLINK("https://media.infra-m.ru/1901/1901826/cover/1901826.jpg", "Обложка")</f>
        <v>Обложка</v>
      </c>
      <c r="V609" s="28" t="str">
        <f>HYPERLINK("https://znanium.com/catalog/product/1901826", "Ознакомиться")</f>
        <v>Ознакомиться</v>
      </c>
      <c r="W609" s="8" t="s">
        <v>700</v>
      </c>
      <c r="X609" s="6"/>
      <c r="Y609" s="6"/>
      <c r="Z609" s="6"/>
      <c r="AA609" s="6" t="s">
        <v>706</v>
      </c>
    </row>
    <row r="610" spans="1:27" s="4" customFormat="1" ht="51.95" customHeight="1">
      <c r="A610" s="5">
        <v>0</v>
      </c>
      <c r="B610" s="6" t="s">
        <v>3450</v>
      </c>
      <c r="C610" s="7">
        <v>850</v>
      </c>
      <c r="D610" s="8" t="s">
        <v>3451</v>
      </c>
      <c r="E610" s="8" t="s">
        <v>3452</v>
      </c>
      <c r="F610" s="8" t="s">
        <v>3453</v>
      </c>
      <c r="G610" s="6" t="s">
        <v>58</v>
      </c>
      <c r="H610" s="6" t="s">
        <v>84</v>
      </c>
      <c r="I610" s="8" t="s">
        <v>251</v>
      </c>
      <c r="J610" s="9">
        <v>1</v>
      </c>
      <c r="K610" s="9">
        <v>166</v>
      </c>
      <c r="L610" s="9">
        <v>2023</v>
      </c>
      <c r="M610" s="8" t="s">
        <v>3454</v>
      </c>
      <c r="N610" s="8" t="s">
        <v>40</v>
      </c>
      <c r="O610" s="8" t="s">
        <v>41</v>
      </c>
      <c r="P610" s="6" t="s">
        <v>42</v>
      </c>
      <c r="Q610" s="8" t="s">
        <v>43</v>
      </c>
      <c r="R610" s="10" t="s">
        <v>3455</v>
      </c>
      <c r="S610" s="11"/>
      <c r="T610" s="6"/>
      <c r="U610" s="28" t="str">
        <f>HYPERLINK("https://media.infra-m.ru/1921/1921368/cover/1921368.jpg", "Обложка")</f>
        <v>Обложка</v>
      </c>
      <c r="V610" s="28" t="str">
        <f>HYPERLINK("https://znanium.com/catalog/product/1921368", "Ознакомиться")</f>
        <v>Ознакомиться</v>
      </c>
      <c r="W610" s="8" t="s">
        <v>3456</v>
      </c>
      <c r="X610" s="6" t="s">
        <v>1600</v>
      </c>
      <c r="Y610" s="6"/>
      <c r="Z610" s="6"/>
      <c r="AA610" s="6" t="s">
        <v>408</v>
      </c>
    </row>
    <row r="611" spans="1:27" s="4" customFormat="1" ht="51.95" customHeight="1">
      <c r="A611" s="5">
        <v>0</v>
      </c>
      <c r="B611" s="6" t="s">
        <v>3457</v>
      </c>
      <c r="C611" s="13">
        <v>1072.5</v>
      </c>
      <c r="D611" s="8" t="s">
        <v>3458</v>
      </c>
      <c r="E611" s="8" t="s">
        <v>3459</v>
      </c>
      <c r="F611" s="8" t="s">
        <v>2332</v>
      </c>
      <c r="G611" s="6" t="s">
        <v>58</v>
      </c>
      <c r="H611" s="6" t="s">
        <v>38</v>
      </c>
      <c r="I611" s="8"/>
      <c r="J611" s="9">
        <v>1</v>
      </c>
      <c r="K611" s="9">
        <v>200</v>
      </c>
      <c r="L611" s="9">
        <v>2023</v>
      </c>
      <c r="M611" s="8" t="s">
        <v>3460</v>
      </c>
      <c r="N611" s="8" t="s">
        <v>40</v>
      </c>
      <c r="O611" s="8" t="s">
        <v>41</v>
      </c>
      <c r="P611" s="6" t="s">
        <v>42</v>
      </c>
      <c r="Q611" s="8" t="s">
        <v>43</v>
      </c>
      <c r="R611" s="10" t="s">
        <v>931</v>
      </c>
      <c r="S611" s="11"/>
      <c r="T611" s="6"/>
      <c r="U611" s="28" t="str">
        <f>HYPERLINK("https://media.infra-m.ru/2051/2051348/cover/2051348.jpg", "Обложка")</f>
        <v>Обложка</v>
      </c>
      <c r="V611" s="28" t="str">
        <f>HYPERLINK("https://znanium.com/catalog/product/2007818", "Ознакомиться")</f>
        <v>Ознакомиться</v>
      </c>
      <c r="W611" s="8" t="s">
        <v>535</v>
      </c>
      <c r="X611" s="6" t="s">
        <v>1144</v>
      </c>
      <c r="Y611" s="6"/>
      <c r="Z611" s="6"/>
      <c r="AA611" s="6" t="s">
        <v>408</v>
      </c>
    </row>
    <row r="612" spans="1:27" s="4" customFormat="1" ht="42" customHeight="1">
      <c r="A612" s="5">
        <v>0</v>
      </c>
      <c r="B612" s="6" t="s">
        <v>3461</v>
      </c>
      <c r="C612" s="7">
        <v>860</v>
      </c>
      <c r="D612" s="8" t="s">
        <v>3462</v>
      </c>
      <c r="E612" s="8" t="s">
        <v>3463</v>
      </c>
      <c r="F612" s="8" t="s">
        <v>3464</v>
      </c>
      <c r="G612" s="6" t="s">
        <v>37</v>
      </c>
      <c r="H612" s="6" t="s">
        <v>84</v>
      </c>
      <c r="I612" s="8" t="s">
        <v>251</v>
      </c>
      <c r="J612" s="9">
        <v>1</v>
      </c>
      <c r="K612" s="9">
        <v>219</v>
      </c>
      <c r="L612" s="9">
        <v>2022</v>
      </c>
      <c r="M612" s="8" t="s">
        <v>3465</v>
      </c>
      <c r="N612" s="8" t="s">
        <v>40</v>
      </c>
      <c r="O612" s="8" t="s">
        <v>41</v>
      </c>
      <c r="P612" s="6" t="s">
        <v>42</v>
      </c>
      <c r="Q612" s="8" t="s">
        <v>43</v>
      </c>
      <c r="R612" s="10" t="s">
        <v>3466</v>
      </c>
      <c r="S612" s="11"/>
      <c r="T612" s="6"/>
      <c r="U612" s="28" t="str">
        <f>HYPERLINK("https://media.infra-m.ru/1790/1790631/cover/1790631.jpg", "Обложка")</f>
        <v>Обложка</v>
      </c>
      <c r="V612" s="28" t="str">
        <f>HYPERLINK("https://znanium.com/catalog/product/1790631", "Ознакомиться")</f>
        <v>Ознакомиться</v>
      </c>
      <c r="W612" s="8" t="s">
        <v>3467</v>
      </c>
      <c r="X612" s="6"/>
      <c r="Y612" s="6"/>
      <c r="Z612" s="6"/>
      <c r="AA612" s="6" t="s">
        <v>640</v>
      </c>
    </row>
    <row r="613" spans="1:27" s="4" customFormat="1" ht="42" customHeight="1">
      <c r="A613" s="5">
        <v>0</v>
      </c>
      <c r="B613" s="6" t="s">
        <v>3468</v>
      </c>
      <c r="C613" s="7">
        <v>680</v>
      </c>
      <c r="D613" s="8" t="s">
        <v>3469</v>
      </c>
      <c r="E613" s="8" t="s">
        <v>3470</v>
      </c>
      <c r="F613" s="8" t="s">
        <v>3471</v>
      </c>
      <c r="G613" s="6" t="s">
        <v>58</v>
      </c>
      <c r="H613" s="6" t="s">
        <v>84</v>
      </c>
      <c r="I613" s="8" t="s">
        <v>251</v>
      </c>
      <c r="J613" s="9">
        <v>1</v>
      </c>
      <c r="K613" s="9">
        <v>212</v>
      </c>
      <c r="L613" s="9">
        <v>2018</v>
      </c>
      <c r="M613" s="8" t="s">
        <v>3472</v>
      </c>
      <c r="N613" s="8" t="s">
        <v>40</v>
      </c>
      <c r="O613" s="8" t="s">
        <v>41</v>
      </c>
      <c r="P613" s="6" t="s">
        <v>42</v>
      </c>
      <c r="Q613" s="8" t="s">
        <v>43</v>
      </c>
      <c r="R613" s="10" t="s">
        <v>3466</v>
      </c>
      <c r="S613" s="11"/>
      <c r="T613" s="6"/>
      <c r="U613" s="28" t="str">
        <f>HYPERLINK("https://media.infra-m.ru/0966/0966592/cover/966592.jpg", "Обложка")</f>
        <v>Обложка</v>
      </c>
      <c r="V613" s="28" t="str">
        <f>HYPERLINK("https://znanium.com/catalog/product/1790631", "Ознакомиться")</f>
        <v>Ознакомиться</v>
      </c>
      <c r="W613" s="8" t="s">
        <v>3467</v>
      </c>
      <c r="X613" s="6"/>
      <c r="Y613" s="6"/>
      <c r="Z613" s="6"/>
      <c r="AA613" s="6" t="s">
        <v>215</v>
      </c>
    </row>
    <row r="614" spans="1:27" s="4" customFormat="1" ht="42" customHeight="1">
      <c r="A614" s="5">
        <v>0</v>
      </c>
      <c r="B614" s="6" t="s">
        <v>3473</v>
      </c>
      <c r="C614" s="13">
        <v>2094.9</v>
      </c>
      <c r="D614" s="8" t="s">
        <v>3474</v>
      </c>
      <c r="E614" s="8" t="s">
        <v>3475</v>
      </c>
      <c r="F614" s="8" t="s">
        <v>1559</v>
      </c>
      <c r="G614" s="6" t="s">
        <v>58</v>
      </c>
      <c r="H614" s="6" t="s">
        <v>38</v>
      </c>
      <c r="I614" s="8"/>
      <c r="J614" s="9">
        <v>1</v>
      </c>
      <c r="K614" s="9">
        <v>524</v>
      </c>
      <c r="L614" s="9">
        <v>2023</v>
      </c>
      <c r="M614" s="8" t="s">
        <v>3476</v>
      </c>
      <c r="N614" s="8" t="s">
        <v>40</v>
      </c>
      <c r="O614" s="8" t="s">
        <v>41</v>
      </c>
      <c r="P614" s="6" t="s">
        <v>42</v>
      </c>
      <c r="Q614" s="8" t="s">
        <v>43</v>
      </c>
      <c r="R614" s="10" t="s">
        <v>3477</v>
      </c>
      <c r="S614" s="11"/>
      <c r="T614" s="6"/>
      <c r="U614" s="28" t="str">
        <f>HYPERLINK("https://media.infra-m.ru/1895/1895085/cover/1895085.jpg", "Обложка")</f>
        <v>Обложка</v>
      </c>
      <c r="V614" s="28" t="str">
        <f>HYPERLINK("https://znanium.com/catalog/product/1035607", "Ознакомиться")</f>
        <v>Ознакомиться</v>
      </c>
      <c r="W614" s="8" t="s">
        <v>1561</v>
      </c>
      <c r="X614" s="6"/>
      <c r="Y614" s="6"/>
      <c r="Z614" s="6"/>
      <c r="AA614" s="6" t="s">
        <v>640</v>
      </c>
    </row>
    <row r="615" spans="1:27" s="4" customFormat="1" ht="51.95" customHeight="1">
      <c r="A615" s="5">
        <v>0</v>
      </c>
      <c r="B615" s="6" t="s">
        <v>3478</v>
      </c>
      <c r="C615" s="7">
        <v>990</v>
      </c>
      <c r="D615" s="8" t="s">
        <v>3479</v>
      </c>
      <c r="E615" s="8" t="s">
        <v>3480</v>
      </c>
      <c r="F615" s="8" t="s">
        <v>3481</v>
      </c>
      <c r="G615" s="6" t="s">
        <v>58</v>
      </c>
      <c r="H615" s="6" t="s">
        <v>38</v>
      </c>
      <c r="I615" s="8"/>
      <c r="J615" s="9">
        <v>1</v>
      </c>
      <c r="K615" s="9">
        <v>128</v>
      </c>
      <c r="L615" s="9">
        <v>2023</v>
      </c>
      <c r="M615" s="8" t="s">
        <v>3482</v>
      </c>
      <c r="N615" s="8" t="s">
        <v>40</v>
      </c>
      <c r="O615" s="8" t="s">
        <v>41</v>
      </c>
      <c r="P615" s="6" t="s">
        <v>42</v>
      </c>
      <c r="Q615" s="8" t="s">
        <v>43</v>
      </c>
      <c r="R615" s="10" t="s">
        <v>3483</v>
      </c>
      <c r="S615" s="11"/>
      <c r="T615" s="6"/>
      <c r="U615" s="28" t="str">
        <f>HYPERLINK("https://media.infra-m.ru/2022/2022201/cover/2022201.jpg", "Обложка")</f>
        <v>Обложка</v>
      </c>
      <c r="V615" s="28" t="str">
        <f>HYPERLINK("https://znanium.com/catalog/product/1983248", "Ознакомиться")</f>
        <v>Ознакомиться</v>
      </c>
      <c r="W615" s="8"/>
      <c r="X615" s="6" t="s">
        <v>645</v>
      </c>
      <c r="Y615" s="6"/>
      <c r="Z615" s="6"/>
      <c r="AA615" s="6" t="s">
        <v>408</v>
      </c>
    </row>
    <row r="616" spans="1:27" s="4" customFormat="1" ht="44.1" customHeight="1">
      <c r="A616" s="5">
        <v>0</v>
      </c>
      <c r="B616" s="6" t="s">
        <v>3484</v>
      </c>
      <c r="C616" s="13">
        <v>1804.9</v>
      </c>
      <c r="D616" s="8" t="s">
        <v>3485</v>
      </c>
      <c r="E616" s="8" t="s">
        <v>3486</v>
      </c>
      <c r="F616" s="8" t="s">
        <v>3487</v>
      </c>
      <c r="G616" s="6" t="s">
        <v>58</v>
      </c>
      <c r="H616" s="6" t="s">
        <v>38</v>
      </c>
      <c r="I616" s="8"/>
      <c r="J616" s="9">
        <v>1</v>
      </c>
      <c r="K616" s="9">
        <v>464</v>
      </c>
      <c r="L616" s="9">
        <v>2022</v>
      </c>
      <c r="M616" s="8" t="s">
        <v>3488</v>
      </c>
      <c r="N616" s="8" t="s">
        <v>40</v>
      </c>
      <c r="O616" s="8" t="s">
        <v>41</v>
      </c>
      <c r="P616" s="6" t="s">
        <v>42</v>
      </c>
      <c r="Q616" s="8" t="s">
        <v>43</v>
      </c>
      <c r="R616" s="10" t="s">
        <v>718</v>
      </c>
      <c r="S616" s="11"/>
      <c r="T616" s="6"/>
      <c r="U616" s="28" t="str">
        <f>HYPERLINK("https://media.infra-m.ru/1837/1837927/cover/1837927.jpg", "Обложка")</f>
        <v>Обложка</v>
      </c>
      <c r="V616" s="28" t="str">
        <f>HYPERLINK("https://znanium.com/catalog/product/1837927", "Ознакомиться")</f>
        <v>Ознакомиться</v>
      </c>
      <c r="W616" s="8" t="s">
        <v>712</v>
      </c>
      <c r="X616" s="6"/>
      <c r="Y616" s="6"/>
      <c r="Z616" s="6"/>
      <c r="AA616" s="6" t="s">
        <v>2477</v>
      </c>
    </row>
    <row r="617" spans="1:27" s="4" customFormat="1" ht="44.1" customHeight="1">
      <c r="A617" s="5">
        <v>0</v>
      </c>
      <c r="B617" s="6" t="s">
        <v>3489</v>
      </c>
      <c r="C617" s="7">
        <v>444.9</v>
      </c>
      <c r="D617" s="8" t="s">
        <v>3490</v>
      </c>
      <c r="E617" s="8" t="s">
        <v>3491</v>
      </c>
      <c r="F617" s="8" t="s">
        <v>3492</v>
      </c>
      <c r="G617" s="6" t="s">
        <v>51</v>
      </c>
      <c r="H617" s="6" t="s">
        <v>38</v>
      </c>
      <c r="I617" s="8"/>
      <c r="J617" s="14">
        <v>0</v>
      </c>
      <c r="K617" s="9">
        <v>144</v>
      </c>
      <c r="L617" s="9">
        <v>2017</v>
      </c>
      <c r="M617" s="8" t="s">
        <v>3493</v>
      </c>
      <c r="N617" s="8" t="s">
        <v>40</v>
      </c>
      <c r="O617" s="8" t="s">
        <v>41</v>
      </c>
      <c r="P617" s="6" t="s">
        <v>42</v>
      </c>
      <c r="Q617" s="8" t="s">
        <v>296</v>
      </c>
      <c r="R617" s="10" t="s">
        <v>3494</v>
      </c>
      <c r="S617" s="11"/>
      <c r="T617" s="6"/>
      <c r="U617" s="28" t="str">
        <f>HYPERLINK("https://media.infra-m.ru/0773/0773180/cover/773180.jpg", "Обложка")</f>
        <v>Обложка</v>
      </c>
      <c r="V617" s="28" t="str">
        <f>HYPERLINK("https://znanium.com/catalog/product/510787", "Ознакомиться")</f>
        <v>Ознакомиться</v>
      </c>
      <c r="W617" s="8"/>
      <c r="X617" s="6"/>
      <c r="Y617" s="6"/>
      <c r="Z617" s="6"/>
      <c r="AA617" s="6" t="s">
        <v>298</v>
      </c>
    </row>
    <row r="618" spans="1:27" s="4" customFormat="1" ht="42" customHeight="1">
      <c r="A618" s="5">
        <v>0</v>
      </c>
      <c r="B618" s="6" t="s">
        <v>3495</v>
      </c>
      <c r="C618" s="7">
        <v>440</v>
      </c>
      <c r="D618" s="8" t="s">
        <v>3496</v>
      </c>
      <c r="E618" s="8" t="s">
        <v>3497</v>
      </c>
      <c r="F618" s="8" t="s">
        <v>3498</v>
      </c>
      <c r="G618" s="6" t="s">
        <v>51</v>
      </c>
      <c r="H618" s="6" t="s">
        <v>84</v>
      </c>
      <c r="I618" s="8" t="s">
        <v>85</v>
      </c>
      <c r="J618" s="9">
        <v>1</v>
      </c>
      <c r="K618" s="9">
        <v>160</v>
      </c>
      <c r="L618" s="9">
        <v>2017</v>
      </c>
      <c r="M618" s="8" t="s">
        <v>3499</v>
      </c>
      <c r="N618" s="8" t="s">
        <v>40</v>
      </c>
      <c r="O618" s="8" t="s">
        <v>41</v>
      </c>
      <c r="P618" s="6" t="s">
        <v>811</v>
      </c>
      <c r="Q618" s="8" t="s">
        <v>43</v>
      </c>
      <c r="R618" s="10" t="s">
        <v>340</v>
      </c>
      <c r="S618" s="11"/>
      <c r="T618" s="6"/>
      <c r="U618" s="28" t="str">
        <f>HYPERLINK("https://media.infra-m.ru/0557/0557071/cover/557071.jpg", "Обложка")</f>
        <v>Обложка</v>
      </c>
      <c r="V618" s="28" t="str">
        <f>HYPERLINK("https://znanium.com/catalog/product/557071", "Ознакомиться")</f>
        <v>Ознакомиться</v>
      </c>
      <c r="W618" s="8" t="s">
        <v>45</v>
      </c>
      <c r="X618" s="6"/>
      <c r="Y618" s="6"/>
      <c r="Z618" s="6"/>
      <c r="AA618" s="6" t="s">
        <v>88</v>
      </c>
    </row>
    <row r="619" spans="1:27" s="4" customFormat="1" ht="42" customHeight="1">
      <c r="A619" s="5">
        <v>0</v>
      </c>
      <c r="B619" s="6" t="s">
        <v>3500</v>
      </c>
      <c r="C619" s="7">
        <v>742.5</v>
      </c>
      <c r="D619" s="8" t="s">
        <v>3501</v>
      </c>
      <c r="E619" s="8" t="s">
        <v>3502</v>
      </c>
      <c r="F619" s="8" t="s">
        <v>3503</v>
      </c>
      <c r="G619" s="6" t="s">
        <v>58</v>
      </c>
      <c r="H619" s="6" t="s">
        <v>38</v>
      </c>
      <c r="I619" s="8"/>
      <c r="J619" s="9">
        <v>20</v>
      </c>
      <c r="K619" s="9">
        <v>240</v>
      </c>
      <c r="L619" s="9">
        <v>2017</v>
      </c>
      <c r="M619" s="8" t="s">
        <v>3504</v>
      </c>
      <c r="N619" s="8" t="s">
        <v>40</v>
      </c>
      <c r="O619" s="8" t="s">
        <v>41</v>
      </c>
      <c r="P619" s="6" t="s">
        <v>42</v>
      </c>
      <c r="Q619" s="8" t="s">
        <v>43</v>
      </c>
      <c r="R619" s="10" t="s">
        <v>310</v>
      </c>
      <c r="S619" s="11"/>
      <c r="T619" s="6"/>
      <c r="U619" s="28" t="str">
        <f>HYPERLINK("https://media.infra-m.ru/2080/2080200/cover/2080200.jpg", "Обложка")</f>
        <v>Обложка</v>
      </c>
      <c r="V619" s="28" t="str">
        <f>HYPERLINK("https://znanium.com/catalog/product/988095", "Ознакомиться")</f>
        <v>Ознакомиться</v>
      </c>
      <c r="W619" s="8" t="s">
        <v>78</v>
      </c>
      <c r="X619" s="6"/>
      <c r="Y619" s="6"/>
      <c r="Z619" s="6"/>
      <c r="AA619" s="6" t="s">
        <v>88</v>
      </c>
    </row>
    <row r="620" spans="1:27" s="4" customFormat="1" ht="51.95" customHeight="1">
      <c r="A620" s="5">
        <v>0</v>
      </c>
      <c r="B620" s="6" t="s">
        <v>3505</v>
      </c>
      <c r="C620" s="13">
        <v>1580</v>
      </c>
      <c r="D620" s="8" t="s">
        <v>3506</v>
      </c>
      <c r="E620" s="8" t="s">
        <v>3507</v>
      </c>
      <c r="F620" s="8" t="s">
        <v>3508</v>
      </c>
      <c r="G620" s="6" t="s">
        <v>58</v>
      </c>
      <c r="H620" s="6" t="s">
        <v>84</v>
      </c>
      <c r="I620" s="8" t="s">
        <v>251</v>
      </c>
      <c r="J620" s="9">
        <v>1</v>
      </c>
      <c r="K620" s="9">
        <v>343</v>
      </c>
      <c r="L620" s="9">
        <v>2023</v>
      </c>
      <c r="M620" s="8" t="s">
        <v>3509</v>
      </c>
      <c r="N620" s="8" t="s">
        <v>40</v>
      </c>
      <c r="O620" s="8" t="s">
        <v>41</v>
      </c>
      <c r="P620" s="6" t="s">
        <v>42</v>
      </c>
      <c r="Q620" s="8" t="s">
        <v>43</v>
      </c>
      <c r="R620" s="10" t="s">
        <v>3510</v>
      </c>
      <c r="S620" s="11"/>
      <c r="T620" s="6"/>
      <c r="U620" s="28" t="str">
        <f>HYPERLINK("https://media.infra-m.ru/1921/1921387/cover/1921387.jpg", "Обложка")</f>
        <v>Обложка</v>
      </c>
      <c r="V620" s="28" t="str">
        <f>HYPERLINK("https://znanium.com/catalog/product/1921387", "Ознакомиться")</f>
        <v>Ознакомиться</v>
      </c>
      <c r="W620" s="8" t="s">
        <v>3511</v>
      </c>
      <c r="X620" s="6" t="s">
        <v>1600</v>
      </c>
      <c r="Y620" s="6"/>
      <c r="Z620" s="6"/>
      <c r="AA620" s="6" t="s">
        <v>408</v>
      </c>
    </row>
    <row r="621" spans="1:27" s="4" customFormat="1" ht="42" customHeight="1">
      <c r="A621" s="5">
        <v>0</v>
      </c>
      <c r="B621" s="6" t="s">
        <v>3512</v>
      </c>
      <c r="C621" s="13">
        <v>1640</v>
      </c>
      <c r="D621" s="8" t="s">
        <v>3513</v>
      </c>
      <c r="E621" s="8" t="s">
        <v>3514</v>
      </c>
      <c r="F621" s="8" t="s">
        <v>3515</v>
      </c>
      <c r="G621" s="6" t="s">
        <v>37</v>
      </c>
      <c r="H621" s="6" t="s">
        <v>38</v>
      </c>
      <c r="I621" s="8"/>
      <c r="J621" s="9">
        <v>1</v>
      </c>
      <c r="K621" s="9">
        <v>392</v>
      </c>
      <c r="L621" s="9">
        <v>2022</v>
      </c>
      <c r="M621" s="8" t="s">
        <v>3516</v>
      </c>
      <c r="N621" s="8" t="s">
        <v>40</v>
      </c>
      <c r="O621" s="8" t="s">
        <v>41</v>
      </c>
      <c r="P621" s="6" t="s">
        <v>42</v>
      </c>
      <c r="Q621" s="8" t="s">
        <v>43</v>
      </c>
      <c r="R621" s="10" t="s">
        <v>87</v>
      </c>
      <c r="S621" s="11"/>
      <c r="T621" s="6"/>
      <c r="U621" s="28" t="str">
        <f>HYPERLINK("https://media.infra-m.ru/1872/1872516/cover/1872516.jpg", "Обложка")</f>
        <v>Обложка</v>
      </c>
      <c r="V621" s="28" t="str">
        <f>HYPERLINK("https://znanium.com/catalog/product/1872516", "Ознакомиться")</f>
        <v>Ознакомиться</v>
      </c>
      <c r="W621" s="8" t="s">
        <v>45</v>
      </c>
      <c r="X621" s="6"/>
      <c r="Y621" s="6"/>
      <c r="Z621" s="6"/>
      <c r="AA621" s="6" t="s">
        <v>79</v>
      </c>
    </row>
    <row r="622" spans="1:27" s="4" customFormat="1" ht="44.1" customHeight="1">
      <c r="A622" s="5">
        <v>0</v>
      </c>
      <c r="B622" s="6" t="s">
        <v>3517</v>
      </c>
      <c r="C622" s="7">
        <v>741.9</v>
      </c>
      <c r="D622" s="8" t="s">
        <v>3518</v>
      </c>
      <c r="E622" s="8" t="s">
        <v>3519</v>
      </c>
      <c r="F622" s="8" t="s">
        <v>3520</v>
      </c>
      <c r="G622" s="6" t="s">
        <v>58</v>
      </c>
      <c r="H622" s="6" t="s">
        <v>38</v>
      </c>
      <c r="I622" s="8"/>
      <c r="J622" s="9">
        <v>1</v>
      </c>
      <c r="K622" s="9">
        <v>176</v>
      </c>
      <c r="L622" s="9">
        <v>2020</v>
      </c>
      <c r="M622" s="8" t="s">
        <v>3521</v>
      </c>
      <c r="N622" s="8" t="s">
        <v>40</v>
      </c>
      <c r="O622" s="8" t="s">
        <v>41</v>
      </c>
      <c r="P622" s="6" t="s">
        <v>42</v>
      </c>
      <c r="Q622" s="8" t="s">
        <v>43</v>
      </c>
      <c r="R622" s="10" t="s">
        <v>3522</v>
      </c>
      <c r="S622" s="11"/>
      <c r="T622" s="6"/>
      <c r="U622" s="28" t="str">
        <f>HYPERLINK("https://media.infra-m.ru/1221/1221075/cover/1221075.jpg", "Обложка")</f>
        <v>Обложка</v>
      </c>
      <c r="V622" s="28" t="str">
        <f>HYPERLINK("https://znanium.com/catalog/product/1185621", "Ознакомиться")</f>
        <v>Ознакомиться</v>
      </c>
      <c r="W622" s="8" t="s">
        <v>1957</v>
      </c>
      <c r="X622" s="6"/>
      <c r="Y622" s="6"/>
      <c r="Z622" s="6"/>
      <c r="AA622" s="6" t="s">
        <v>115</v>
      </c>
    </row>
    <row r="623" spans="1:27" s="4" customFormat="1" ht="42" customHeight="1">
      <c r="A623" s="5">
        <v>0</v>
      </c>
      <c r="B623" s="6" t="s">
        <v>3523</v>
      </c>
      <c r="C623" s="13">
        <v>1254</v>
      </c>
      <c r="D623" s="8" t="s">
        <v>3524</v>
      </c>
      <c r="E623" s="8" t="s">
        <v>3525</v>
      </c>
      <c r="F623" s="8" t="s">
        <v>3526</v>
      </c>
      <c r="G623" s="6" t="s">
        <v>58</v>
      </c>
      <c r="H623" s="6" t="s">
        <v>38</v>
      </c>
      <c r="I623" s="8"/>
      <c r="J623" s="9">
        <v>1</v>
      </c>
      <c r="K623" s="9">
        <v>272</v>
      </c>
      <c r="L623" s="9">
        <v>2023</v>
      </c>
      <c r="M623" s="8" t="s">
        <v>3527</v>
      </c>
      <c r="N623" s="8" t="s">
        <v>40</v>
      </c>
      <c r="O623" s="8" t="s">
        <v>41</v>
      </c>
      <c r="P623" s="6" t="s">
        <v>42</v>
      </c>
      <c r="Q623" s="8" t="s">
        <v>43</v>
      </c>
      <c r="R623" s="10" t="s">
        <v>69</v>
      </c>
      <c r="S623" s="11"/>
      <c r="T623" s="6"/>
      <c r="U623" s="28" t="str">
        <f>HYPERLINK("https://media.infra-m.ru/1915/1915914/cover/1915914.jpg", "Обложка")</f>
        <v>Обложка</v>
      </c>
      <c r="V623" s="28" t="str">
        <f>HYPERLINK("https://znanium.com/catalog/product/1081110", "Ознакомиться")</f>
        <v>Ознакомиться</v>
      </c>
      <c r="W623" s="8" t="s">
        <v>78</v>
      </c>
      <c r="X623" s="6"/>
      <c r="Y623" s="6"/>
      <c r="Z623" s="6"/>
      <c r="AA623" s="6" t="s">
        <v>298</v>
      </c>
    </row>
    <row r="624" spans="1:27" s="4" customFormat="1" ht="42" customHeight="1">
      <c r="A624" s="5">
        <v>0</v>
      </c>
      <c r="B624" s="6" t="s">
        <v>3528</v>
      </c>
      <c r="C624" s="7">
        <v>765</v>
      </c>
      <c r="D624" s="8" t="s">
        <v>3529</v>
      </c>
      <c r="E624" s="8" t="s">
        <v>3530</v>
      </c>
      <c r="F624" s="8"/>
      <c r="G624" s="6" t="s">
        <v>26</v>
      </c>
      <c r="H624" s="6" t="s">
        <v>38</v>
      </c>
      <c r="I624" s="8"/>
      <c r="J624" s="9">
        <v>1</v>
      </c>
      <c r="K624" s="9">
        <v>112</v>
      </c>
      <c r="L624" s="9">
        <v>2021</v>
      </c>
      <c r="M624" s="8" t="s">
        <v>3531</v>
      </c>
      <c r="N624" s="8" t="s">
        <v>40</v>
      </c>
      <c r="O624" s="8" t="s">
        <v>41</v>
      </c>
      <c r="P624" s="6" t="s">
        <v>42</v>
      </c>
      <c r="Q624" s="8" t="s">
        <v>43</v>
      </c>
      <c r="R624" s="10" t="s">
        <v>69</v>
      </c>
      <c r="S624" s="11"/>
      <c r="T624" s="6"/>
      <c r="U624" s="28" t="str">
        <f>HYPERLINK("https://media.infra-m.ru/1551/1551062/cover/1551062.jpg", "Обложка")</f>
        <v>Обложка</v>
      </c>
      <c r="V624" s="28" t="str">
        <f>HYPERLINK("https://znanium.com/catalog/product/1302351", "Ознакомиться")</f>
        <v>Ознакомиться</v>
      </c>
      <c r="W624" s="8"/>
      <c r="X624" s="6"/>
      <c r="Y624" s="6"/>
      <c r="Z624" s="6"/>
      <c r="AA624" s="6" t="s">
        <v>62</v>
      </c>
    </row>
    <row r="625" spans="1:27" s="4" customFormat="1" ht="44.1" customHeight="1">
      <c r="A625" s="5">
        <v>0</v>
      </c>
      <c r="B625" s="6" t="s">
        <v>3532</v>
      </c>
      <c r="C625" s="13">
        <v>1164.9000000000001</v>
      </c>
      <c r="D625" s="8" t="s">
        <v>3533</v>
      </c>
      <c r="E625" s="8" t="s">
        <v>3534</v>
      </c>
      <c r="F625" s="8" t="s">
        <v>3535</v>
      </c>
      <c r="G625" s="6" t="s">
        <v>37</v>
      </c>
      <c r="H625" s="6" t="s">
        <v>84</v>
      </c>
      <c r="I625" s="8" t="s">
        <v>251</v>
      </c>
      <c r="J625" s="9">
        <v>1</v>
      </c>
      <c r="K625" s="9">
        <v>258</v>
      </c>
      <c r="L625" s="9">
        <v>2023</v>
      </c>
      <c r="M625" s="8" t="s">
        <v>3536</v>
      </c>
      <c r="N625" s="8" t="s">
        <v>40</v>
      </c>
      <c r="O625" s="8" t="s">
        <v>41</v>
      </c>
      <c r="P625" s="6" t="s">
        <v>42</v>
      </c>
      <c r="Q625" s="8" t="s">
        <v>43</v>
      </c>
      <c r="R625" s="10" t="s">
        <v>310</v>
      </c>
      <c r="S625" s="11"/>
      <c r="T625" s="6"/>
      <c r="U625" s="28" t="str">
        <f>HYPERLINK("https://media.infra-m.ru/2006/2006907/cover/2006907.jpg", "Обложка")</f>
        <v>Обложка</v>
      </c>
      <c r="V625" s="28" t="str">
        <f>HYPERLINK("https://znanium.com/catalog/product/1066511", "Ознакомиться")</f>
        <v>Ознакомиться</v>
      </c>
      <c r="W625" s="8" t="s">
        <v>3537</v>
      </c>
      <c r="X625" s="6"/>
      <c r="Y625" s="6"/>
      <c r="Z625" s="6"/>
      <c r="AA625" s="6" t="s">
        <v>46</v>
      </c>
    </row>
    <row r="626" spans="1:27" s="4" customFormat="1" ht="51.95" customHeight="1">
      <c r="A626" s="5">
        <v>0</v>
      </c>
      <c r="B626" s="6" t="s">
        <v>3538</v>
      </c>
      <c r="C626" s="13">
        <v>1740</v>
      </c>
      <c r="D626" s="8" t="s">
        <v>3539</v>
      </c>
      <c r="E626" s="8" t="s">
        <v>3540</v>
      </c>
      <c r="F626" s="8" t="s">
        <v>3541</v>
      </c>
      <c r="G626" s="6" t="s">
        <v>37</v>
      </c>
      <c r="H626" s="6" t="s">
        <v>84</v>
      </c>
      <c r="I626" s="8" t="s">
        <v>85</v>
      </c>
      <c r="J626" s="9">
        <v>1</v>
      </c>
      <c r="K626" s="9">
        <v>496</v>
      </c>
      <c r="L626" s="9">
        <v>2020</v>
      </c>
      <c r="M626" s="8" t="s">
        <v>3542</v>
      </c>
      <c r="N626" s="8" t="s">
        <v>40</v>
      </c>
      <c r="O626" s="8" t="s">
        <v>41</v>
      </c>
      <c r="P626" s="6" t="s">
        <v>42</v>
      </c>
      <c r="Q626" s="8" t="s">
        <v>43</v>
      </c>
      <c r="R626" s="10" t="s">
        <v>3543</v>
      </c>
      <c r="S626" s="11"/>
      <c r="T626" s="6"/>
      <c r="U626" s="28" t="str">
        <f>HYPERLINK("https://media.infra-m.ru/1077/1077360/cover/1077360.jpg", "Обложка")</f>
        <v>Обложка</v>
      </c>
      <c r="V626" s="28" t="str">
        <f>HYPERLINK("https://znanium.com/catalog/product/1077360", "Ознакомиться")</f>
        <v>Ознакомиться</v>
      </c>
      <c r="W626" s="8" t="s">
        <v>3341</v>
      </c>
      <c r="X626" s="6"/>
      <c r="Y626" s="6"/>
      <c r="Z626" s="6"/>
      <c r="AA626" s="6" t="s">
        <v>46</v>
      </c>
    </row>
    <row r="627" spans="1:27" s="4" customFormat="1" ht="42" customHeight="1">
      <c r="A627" s="5">
        <v>0</v>
      </c>
      <c r="B627" s="6" t="s">
        <v>3544</v>
      </c>
      <c r="C627" s="7">
        <v>620</v>
      </c>
      <c r="D627" s="8" t="s">
        <v>3545</v>
      </c>
      <c r="E627" s="8" t="s">
        <v>3546</v>
      </c>
      <c r="F627" s="8" t="s">
        <v>3547</v>
      </c>
      <c r="G627" s="6" t="s">
        <v>58</v>
      </c>
      <c r="H627" s="6" t="s">
        <v>84</v>
      </c>
      <c r="I627" s="8" t="s">
        <v>85</v>
      </c>
      <c r="J627" s="9">
        <v>1</v>
      </c>
      <c r="K627" s="9">
        <v>152</v>
      </c>
      <c r="L627" s="9">
        <v>2020</v>
      </c>
      <c r="M627" s="8" t="s">
        <v>3548</v>
      </c>
      <c r="N627" s="8" t="s">
        <v>40</v>
      </c>
      <c r="O627" s="8" t="s">
        <v>41</v>
      </c>
      <c r="P627" s="6" t="s">
        <v>811</v>
      </c>
      <c r="Q627" s="8" t="s">
        <v>43</v>
      </c>
      <c r="R627" s="10" t="s">
        <v>1339</v>
      </c>
      <c r="S627" s="11"/>
      <c r="T627" s="6"/>
      <c r="U627" s="28" t="str">
        <f>HYPERLINK("https://media.infra-m.ru/1080/1080398/cover/1080398.jpg", "Обложка")</f>
        <v>Обложка</v>
      </c>
      <c r="V627" s="28" t="str">
        <f>HYPERLINK("https://znanium.com/catalog/product/1080398", "Ознакомиться")</f>
        <v>Ознакомиться</v>
      </c>
      <c r="W627" s="8" t="s">
        <v>45</v>
      </c>
      <c r="X627" s="6"/>
      <c r="Y627" s="6"/>
      <c r="Z627" s="6"/>
      <c r="AA627" s="6" t="s">
        <v>115</v>
      </c>
    </row>
    <row r="628" spans="1:27" s="4" customFormat="1" ht="42" customHeight="1">
      <c r="A628" s="5">
        <v>0</v>
      </c>
      <c r="B628" s="6" t="s">
        <v>3549</v>
      </c>
      <c r="C628" s="13">
        <v>1030</v>
      </c>
      <c r="D628" s="8" t="s">
        <v>3550</v>
      </c>
      <c r="E628" s="8" t="s">
        <v>3551</v>
      </c>
      <c r="F628" s="8" t="s">
        <v>3552</v>
      </c>
      <c r="G628" s="6" t="s">
        <v>51</v>
      </c>
      <c r="H628" s="6" t="s">
        <v>84</v>
      </c>
      <c r="I628" s="8"/>
      <c r="J628" s="9">
        <v>1</v>
      </c>
      <c r="K628" s="9">
        <v>227</v>
      </c>
      <c r="L628" s="9">
        <v>2020</v>
      </c>
      <c r="M628" s="8" t="s">
        <v>3553</v>
      </c>
      <c r="N628" s="8" t="s">
        <v>40</v>
      </c>
      <c r="O628" s="8" t="s">
        <v>41</v>
      </c>
      <c r="P628" s="6" t="s">
        <v>42</v>
      </c>
      <c r="Q628" s="8" t="s">
        <v>43</v>
      </c>
      <c r="R628" s="10" t="s">
        <v>304</v>
      </c>
      <c r="S628" s="11"/>
      <c r="T628" s="6"/>
      <c r="U628" s="28" t="str">
        <f>HYPERLINK("https://media.infra-m.ru/1095/1095734/cover/1095734.jpg", "Обложка")</f>
        <v>Обложка</v>
      </c>
      <c r="V628" s="28" t="str">
        <f>HYPERLINK("https://znanium.com/catalog/product/1095734", "Ознакомиться")</f>
        <v>Ознакомиться</v>
      </c>
      <c r="W628" s="8" t="s">
        <v>45</v>
      </c>
      <c r="X628" s="6"/>
      <c r="Y628" s="6"/>
      <c r="Z628" s="6"/>
      <c r="AA628" s="6" t="s">
        <v>289</v>
      </c>
    </row>
    <row r="629" spans="1:27" s="4" customFormat="1" ht="44.1" customHeight="1">
      <c r="A629" s="5">
        <v>0</v>
      </c>
      <c r="B629" s="6" t="s">
        <v>3554</v>
      </c>
      <c r="C629" s="7">
        <v>764.9</v>
      </c>
      <c r="D629" s="8" t="s">
        <v>3555</v>
      </c>
      <c r="E629" s="8" t="s">
        <v>3556</v>
      </c>
      <c r="F629" s="8" t="s">
        <v>3557</v>
      </c>
      <c r="G629" s="6" t="s">
        <v>58</v>
      </c>
      <c r="H629" s="6" t="s">
        <v>84</v>
      </c>
      <c r="I629" s="8" t="s">
        <v>251</v>
      </c>
      <c r="J629" s="9">
        <v>1</v>
      </c>
      <c r="K629" s="9">
        <v>248</v>
      </c>
      <c r="L629" s="9">
        <v>2018</v>
      </c>
      <c r="M629" s="8" t="s">
        <v>3558</v>
      </c>
      <c r="N629" s="8" t="s">
        <v>40</v>
      </c>
      <c r="O629" s="8" t="s">
        <v>41</v>
      </c>
      <c r="P629" s="6" t="s">
        <v>42</v>
      </c>
      <c r="Q629" s="8" t="s">
        <v>43</v>
      </c>
      <c r="R629" s="10" t="s">
        <v>1510</v>
      </c>
      <c r="S629" s="11"/>
      <c r="T629" s="6" t="s">
        <v>368</v>
      </c>
      <c r="U629" s="28" t="str">
        <f>HYPERLINK("https://media.infra-m.ru/0959/0959940/cover/959940.jpg", "Обложка")</f>
        <v>Обложка</v>
      </c>
      <c r="V629" s="28" t="str">
        <f>HYPERLINK("https://znanium.com/catalog/product/959940", "Ознакомиться")</f>
        <v>Ознакомиться</v>
      </c>
      <c r="W629" s="8" t="s">
        <v>2794</v>
      </c>
      <c r="X629" s="6"/>
      <c r="Y629" s="6"/>
      <c r="Z629" s="6"/>
      <c r="AA629" s="6" t="s">
        <v>289</v>
      </c>
    </row>
    <row r="630" spans="1:27" s="4" customFormat="1" ht="42" customHeight="1">
      <c r="A630" s="5">
        <v>0</v>
      </c>
      <c r="B630" s="6" t="s">
        <v>3559</v>
      </c>
      <c r="C630" s="7">
        <v>790</v>
      </c>
      <c r="D630" s="8" t="s">
        <v>3560</v>
      </c>
      <c r="E630" s="8" t="s">
        <v>3561</v>
      </c>
      <c r="F630" s="8" t="s">
        <v>3562</v>
      </c>
      <c r="G630" s="6" t="s">
        <v>37</v>
      </c>
      <c r="H630" s="6" t="s">
        <v>38</v>
      </c>
      <c r="I630" s="8"/>
      <c r="J630" s="9">
        <v>1</v>
      </c>
      <c r="K630" s="9">
        <v>176</v>
      </c>
      <c r="L630" s="9">
        <v>2023</v>
      </c>
      <c r="M630" s="8" t="s">
        <v>3563</v>
      </c>
      <c r="N630" s="8" t="s">
        <v>40</v>
      </c>
      <c r="O630" s="8" t="s">
        <v>41</v>
      </c>
      <c r="P630" s="6" t="s">
        <v>42</v>
      </c>
      <c r="Q630" s="8" t="s">
        <v>43</v>
      </c>
      <c r="R630" s="10" t="s">
        <v>113</v>
      </c>
      <c r="S630" s="11"/>
      <c r="T630" s="6"/>
      <c r="U630" s="28" t="str">
        <f>HYPERLINK("https://media.infra-m.ru/2048/2048134/cover/2048134.jpg", "Обложка")</f>
        <v>Обложка</v>
      </c>
      <c r="V630" s="28" t="str">
        <f>HYPERLINK("https://znanium.com/catalog/product/1903734", "Ознакомиться")</f>
        <v>Ознакомиться</v>
      </c>
      <c r="W630" s="8" t="s">
        <v>114</v>
      </c>
      <c r="X630" s="6"/>
      <c r="Y630" s="6"/>
      <c r="Z630" s="6"/>
      <c r="AA630" s="6" t="s">
        <v>46</v>
      </c>
    </row>
    <row r="631" spans="1:27" s="4" customFormat="1" ht="42" customHeight="1">
      <c r="A631" s="5">
        <v>0</v>
      </c>
      <c r="B631" s="6" t="s">
        <v>3564</v>
      </c>
      <c r="C631" s="7">
        <v>510</v>
      </c>
      <c r="D631" s="8" t="s">
        <v>3565</v>
      </c>
      <c r="E631" s="8" t="s">
        <v>3566</v>
      </c>
      <c r="F631" s="8" t="s">
        <v>3567</v>
      </c>
      <c r="G631" s="6" t="s">
        <v>51</v>
      </c>
      <c r="H631" s="6" t="s">
        <v>84</v>
      </c>
      <c r="I631" s="8" t="s">
        <v>251</v>
      </c>
      <c r="J631" s="9">
        <v>1</v>
      </c>
      <c r="K631" s="9">
        <v>108</v>
      </c>
      <c r="L631" s="9">
        <v>2022</v>
      </c>
      <c r="M631" s="8" t="s">
        <v>3568</v>
      </c>
      <c r="N631" s="8" t="s">
        <v>40</v>
      </c>
      <c r="O631" s="8" t="s">
        <v>41</v>
      </c>
      <c r="P631" s="6" t="s">
        <v>42</v>
      </c>
      <c r="Q631" s="8" t="s">
        <v>43</v>
      </c>
      <c r="R631" s="10" t="s">
        <v>896</v>
      </c>
      <c r="S631" s="11"/>
      <c r="T631" s="6"/>
      <c r="U631" s="28" t="str">
        <f>HYPERLINK("https://media.infra-m.ru/1709/1709590/cover/1709590.jpg", "Обложка")</f>
        <v>Обложка</v>
      </c>
      <c r="V631" s="28" t="str">
        <f>HYPERLINK("https://znanium.com/catalog/product/1709590", "Ознакомиться")</f>
        <v>Ознакомиться</v>
      </c>
      <c r="W631" s="8" t="s">
        <v>1082</v>
      </c>
      <c r="X631" s="6"/>
      <c r="Y631" s="6"/>
      <c r="Z631" s="6"/>
      <c r="AA631" s="6" t="s">
        <v>148</v>
      </c>
    </row>
    <row r="632" spans="1:27" s="4" customFormat="1" ht="51.95" customHeight="1">
      <c r="A632" s="5">
        <v>0</v>
      </c>
      <c r="B632" s="6" t="s">
        <v>3569</v>
      </c>
      <c r="C632" s="7">
        <v>720</v>
      </c>
      <c r="D632" s="8" t="s">
        <v>3570</v>
      </c>
      <c r="E632" s="8" t="s">
        <v>3571</v>
      </c>
      <c r="F632" s="8" t="s">
        <v>3572</v>
      </c>
      <c r="G632" s="6" t="s">
        <v>51</v>
      </c>
      <c r="H632" s="6" t="s">
        <v>84</v>
      </c>
      <c r="I632" s="8" t="s">
        <v>185</v>
      </c>
      <c r="J632" s="9">
        <v>1</v>
      </c>
      <c r="K632" s="9">
        <v>158</v>
      </c>
      <c r="L632" s="9">
        <v>2023</v>
      </c>
      <c r="M632" s="8" t="s">
        <v>3573</v>
      </c>
      <c r="N632" s="8" t="s">
        <v>40</v>
      </c>
      <c r="O632" s="8" t="s">
        <v>41</v>
      </c>
      <c r="P632" s="6" t="s">
        <v>75</v>
      </c>
      <c r="Q632" s="8" t="s">
        <v>76</v>
      </c>
      <c r="R632" s="10" t="s">
        <v>1804</v>
      </c>
      <c r="S632" s="11" t="s">
        <v>3574</v>
      </c>
      <c r="T632" s="6"/>
      <c r="U632" s="28" t="str">
        <f>HYPERLINK("https://media.infra-m.ru/1891/1891643/cover/1891643.jpg", "Обложка")</f>
        <v>Обложка</v>
      </c>
      <c r="V632" s="28" t="str">
        <f>HYPERLINK("https://znanium.com/catalog/product/1891643", "Ознакомиться")</f>
        <v>Ознакомиться</v>
      </c>
      <c r="W632" s="8" t="s">
        <v>3575</v>
      </c>
      <c r="X632" s="6"/>
      <c r="Y632" s="6"/>
      <c r="Z632" s="6"/>
      <c r="AA632" s="6" t="s">
        <v>148</v>
      </c>
    </row>
    <row r="633" spans="1:27" s="4" customFormat="1" ht="51.95" customHeight="1">
      <c r="A633" s="5">
        <v>0</v>
      </c>
      <c r="B633" s="6" t="s">
        <v>3576</v>
      </c>
      <c r="C633" s="13">
        <v>1414.9</v>
      </c>
      <c r="D633" s="8" t="s">
        <v>3577</v>
      </c>
      <c r="E633" s="8" t="s">
        <v>3578</v>
      </c>
      <c r="F633" s="8" t="s">
        <v>3579</v>
      </c>
      <c r="G633" s="6" t="s">
        <v>58</v>
      </c>
      <c r="H633" s="6" t="s">
        <v>38</v>
      </c>
      <c r="I633" s="8"/>
      <c r="J633" s="9">
        <v>1</v>
      </c>
      <c r="K633" s="9">
        <v>416</v>
      </c>
      <c r="L633" s="9">
        <v>2020</v>
      </c>
      <c r="M633" s="8" t="s">
        <v>3580</v>
      </c>
      <c r="N633" s="8" t="s">
        <v>40</v>
      </c>
      <c r="O633" s="8" t="s">
        <v>41</v>
      </c>
      <c r="P633" s="6" t="s">
        <v>95</v>
      </c>
      <c r="Q633" s="8" t="s">
        <v>76</v>
      </c>
      <c r="R633" s="10" t="s">
        <v>168</v>
      </c>
      <c r="S633" s="11"/>
      <c r="T633" s="6"/>
      <c r="U633" s="12"/>
      <c r="V633" s="28" t="str">
        <f>HYPERLINK("https://znanium.com/catalog/product/1793656", "Ознакомиться")</f>
        <v>Ознакомиться</v>
      </c>
      <c r="W633" s="8" t="s">
        <v>375</v>
      </c>
      <c r="X633" s="6"/>
      <c r="Y633" s="6"/>
      <c r="Z633" s="6"/>
      <c r="AA633" s="6" t="s">
        <v>855</v>
      </c>
    </row>
    <row r="634" spans="1:27" s="4" customFormat="1" ht="21.95" customHeight="1">
      <c r="A634" s="5">
        <v>0</v>
      </c>
      <c r="B634" s="6" t="s">
        <v>3581</v>
      </c>
      <c r="C634" s="7">
        <v>564.9</v>
      </c>
      <c r="D634" s="8" t="s">
        <v>3582</v>
      </c>
      <c r="E634" s="8" t="s">
        <v>3583</v>
      </c>
      <c r="F634" s="8" t="s">
        <v>3584</v>
      </c>
      <c r="G634" s="6" t="s">
        <v>1726</v>
      </c>
      <c r="H634" s="6" t="s">
        <v>38</v>
      </c>
      <c r="I634" s="8"/>
      <c r="J634" s="9">
        <v>20</v>
      </c>
      <c r="K634" s="9">
        <v>256</v>
      </c>
      <c r="L634" s="9">
        <v>2015</v>
      </c>
      <c r="M634" s="8" t="s">
        <v>3585</v>
      </c>
      <c r="N634" s="8" t="s">
        <v>40</v>
      </c>
      <c r="O634" s="8" t="s">
        <v>41</v>
      </c>
      <c r="P634" s="6" t="s">
        <v>95</v>
      </c>
      <c r="Q634" s="8" t="s">
        <v>76</v>
      </c>
      <c r="R634" s="10" t="s">
        <v>304</v>
      </c>
      <c r="S634" s="11"/>
      <c r="T634" s="6"/>
      <c r="U634" s="12"/>
      <c r="V634" s="28" t="str">
        <f>HYPERLINK("https://znanium.com/catalog/product/1899696", "Ознакомиться")</f>
        <v>Ознакомиться</v>
      </c>
      <c r="W634" s="8" t="s">
        <v>2959</v>
      </c>
      <c r="X634" s="6"/>
      <c r="Y634" s="6"/>
      <c r="Z634" s="6"/>
      <c r="AA634" s="6" t="s">
        <v>2028</v>
      </c>
    </row>
    <row r="635" spans="1:27" s="4" customFormat="1" ht="42" customHeight="1">
      <c r="A635" s="5">
        <v>0</v>
      </c>
      <c r="B635" s="6" t="s">
        <v>3586</v>
      </c>
      <c r="C635" s="13">
        <v>1220</v>
      </c>
      <c r="D635" s="8" t="s">
        <v>3587</v>
      </c>
      <c r="E635" s="8" t="s">
        <v>3588</v>
      </c>
      <c r="F635" s="8" t="s">
        <v>3584</v>
      </c>
      <c r="G635" s="6" t="s">
        <v>37</v>
      </c>
      <c r="H635" s="6" t="s">
        <v>38</v>
      </c>
      <c r="I635" s="8"/>
      <c r="J635" s="9">
        <v>1</v>
      </c>
      <c r="K635" s="9">
        <v>264</v>
      </c>
      <c r="L635" s="9">
        <v>2023</v>
      </c>
      <c r="M635" s="8" t="s">
        <v>3589</v>
      </c>
      <c r="N635" s="8" t="s">
        <v>40</v>
      </c>
      <c r="O635" s="8" t="s">
        <v>41</v>
      </c>
      <c r="P635" s="6" t="s">
        <v>95</v>
      </c>
      <c r="Q635" s="8" t="s">
        <v>76</v>
      </c>
      <c r="R635" s="10" t="s">
        <v>304</v>
      </c>
      <c r="S635" s="11"/>
      <c r="T635" s="6"/>
      <c r="U635" s="28" t="str">
        <f>HYPERLINK("https://media.infra-m.ru/2033/2033468/cover/2033468.jpg", "Обложка")</f>
        <v>Обложка</v>
      </c>
      <c r="V635" s="28" t="str">
        <f>HYPERLINK("https://znanium.com/catalog/product/1899696", "Ознакомиться")</f>
        <v>Ознакомиться</v>
      </c>
      <c r="W635" s="8" t="s">
        <v>2959</v>
      </c>
      <c r="X635" s="6"/>
      <c r="Y635" s="6"/>
      <c r="Z635" s="6"/>
      <c r="AA635" s="6" t="s">
        <v>1193</v>
      </c>
    </row>
    <row r="636" spans="1:27" s="4" customFormat="1" ht="51.95" customHeight="1">
      <c r="A636" s="5">
        <v>0</v>
      </c>
      <c r="B636" s="6" t="s">
        <v>3590</v>
      </c>
      <c r="C636" s="13">
        <v>2164</v>
      </c>
      <c r="D636" s="8" t="s">
        <v>3591</v>
      </c>
      <c r="E636" s="8" t="s">
        <v>3592</v>
      </c>
      <c r="F636" s="8" t="s">
        <v>2641</v>
      </c>
      <c r="G636" s="6" t="s">
        <v>37</v>
      </c>
      <c r="H636" s="6" t="s">
        <v>52</v>
      </c>
      <c r="I636" s="8" t="s">
        <v>120</v>
      </c>
      <c r="J636" s="9">
        <v>1</v>
      </c>
      <c r="K636" s="9">
        <v>480</v>
      </c>
      <c r="L636" s="9">
        <v>2023</v>
      </c>
      <c r="M636" s="8" t="s">
        <v>3593</v>
      </c>
      <c r="N636" s="8" t="s">
        <v>40</v>
      </c>
      <c r="O636" s="8" t="s">
        <v>41</v>
      </c>
      <c r="P636" s="6" t="s">
        <v>75</v>
      </c>
      <c r="Q636" s="8" t="s">
        <v>76</v>
      </c>
      <c r="R636" s="10" t="s">
        <v>304</v>
      </c>
      <c r="S636" s="11" t="s">
        <v>3594</v>
      </c>
      <c r="T636" s="6"/>
      <c r="U636" s="28" t="str">
        <f>HYPERLINK("https://media.infra-m.ru/1976/1976180/cover/1976180.jpg", "Обложка")</f>
        <v>Обложка</v>
      </c>
      <c r="V636" s="28" t="str">
        <f>HYPERLINK("https://znanium.com/catalog/product/944364", "Ознакомиться")</f>
        <v>Ознакомиться</v>
      </c>
      <c r="W636" s="8" t="s">
        <v>2644</v>
      </c>
      <c r="X636" s="6"/>
      <c r="Y636" s="6"/>
      <c r="Z636" s="6"/>
      <c r="AA636" s="6" t="s">
        <v>143</v>
      </c>
    </row>
    <row r="637" spans="1:27" s="4" customFormat="1" ht="51.95" customHeight="1">
      <c r="A637" s="5">
        <v>0</v>
      </c>
      <c r="B637" s="6" t="s">
        <v>3595</v>
      </c>
      <c r="C637" s="7">
        <v>760</v>
      </c>
      <c r="D637" s="8" t="s">
        <v>3596</v>
      </c>
      <c r="E637" s="8" t="s">
        <v>3597</v>
      </c>
      <c r="F637" s="8" t="s">
        <v>3598</v>
      </c>
      <c r="G637" s="6" t="s">
        <v>37</v>
      </c>
      <c r="H637" s="6" t="s">
        <v>192</v>
      </c>
      <c r="I637" s="8" t="s">
        <v>2171</v>
      </c>
      <c r="J637" s="9">
        <v>1</v>
      </c>
      <c r="K637" s="9">
        <v>223</v>
      </c>
      <c r="L637" s="9">
        <v>2020</v>
      </c>
      <c r="M637" s="8" t="s">
        <v>3599</v>
      </c>
      <c r="N637" s="8" t="s">
        <v>40</v>
      </c>
      <c r="O637" s="8" t="s">
        <v>41</v>
      </c>
      <c r="P637" s="6" t="s">
        <v>75</v>
      </c>
      <c r="Q637" s="8" t="s">
        <v>96</v>
      </c>
      <c r="R637" s="10" t="s">
        <v>3600</v>
      </c>
      <c r="S637" s="11" t="s">
        <v>3601</v>
      </c>
      <c r="T637" s="6"/>
      <c r="U637" s="28" t="str">
        <f>HYPERLINK("https://media.infra-m.ru/1099/1099269/cover/1099269.jpg", "Обложка")</f>
        <v>Обложка</v>
      </c>
      <c r="V637" s="28" t="str">
        <f>HYPERLINK("https://znanium.com/catalog/product/1099269", "Ознакомиться")</f>
        <v>Ознакомиться</v>
      </c>
      <c r="W637" s="8" t="s">
        <v>195</v>
      </c>
      <c r="X637" s="6"/>
      <c r="Y637" s="6"/>
      <c r="Z637" s="6"/>
      <c r="AA637" s="6" t="s">
        <v>196</v>
      </c>
    </row>
    <row r="638" spans="1:27" s="4" customFormat="1" ht="51.95" customHeight="1">
      <c r="A638" s="5">
        <v>0</v>
      </c>
      <c r="B638" s="6" t="s">
        <v>3602</v>
      </c>
      <c r="C638" s="13">
        <v>1024</v>
      </c>
      <c r="D638" s="8" t="s">
        <v>3603</v>
      </c>
      <c r="E638" s="8" t="s">
        <v>3604</v>
      </c>
      <c r="F638" s="8" t="s">
        <v>191</v>
      </c>
      <c r="G638" s="6" t="s">
        <v>58</v>
      </c>
      <c r="H638" s="6" t="s">
        <v>84</v>
      </c>
      <c r="I638" s="8" t="s">
        <v>93</v>
      </c>
      <c r="J638" s="9">
        <v>1</v>
      </c>
      <c r="K638" s="9">
        <v>222</v>
      </c>
      <c r="L638" s="9">
        <v>2024</v>
      </c>
      <c r="M638" s="8" t="s">
        <v>3605</v>
      </c>
      <c r="N638" s="8" t="s">
        <v>40</v>
      </c>
      <c r="O638" s="8" t="s">
        <v>41</v>
      </c>
      <c r="P638" s="6" t="s">
        <v>75</v>
      </c>
      <c r="Q638" s="8" t="s">
        <v>96</v>
      </c>
      <c r="R638" s="10" t="s">
        <v>3600</v>
      </c>
      <c r="S638" s="11" t="s">
        <v>3601</v>
      </c>
      <c r="T638" s="6"/>
      <c r="U638" s="28" t="str">
        <f>HYPERLINK("https://media.infra-m.ru/1176/1176913/cover/1176913.jpg", "Обложка")</f>
        <v>Обложка</v>
      </c>
      <c r="V638" s="28" t="str">
        <f>HYPERLINK("https://znanium.com/catalog/product/1099269", "Ознакомиться")</f>
        <v>Ознакомиться</v>
      </c>
      <c r="W638" s="8" t="s">
        <v>195</v>
      </c>
      <c r="X638" s="6"/>
      <c r="Y638" s="6"/>
      <c r="Z638" s="6"/>
      <c r="AA638" s="6" t="s">
        <v>202</v>
      </c>
    </row>
    <row r="639" spans="1:27" s="4" customFormat="1" ht="51.95" customHeight="1">
      <c r="A639" s="5">
        <v>0</v>
      </c>
      <c r="B639" s="6" t="s">
        <v>3606</v>
      </c>
      <c r="C639" s="13">
        <v>1154</v>
      </c>
      <c r="D639" s="8" t="s">
        <v>3607</v>
      </c>
      <c r="E639" s="8" t="s">
        <v>3597</v>
      </c>
      <c r="F639" s="8" t="s">
        <v>3608</v>
      </c>
      <c r="G639" s="6" t="s">
        <v>58</v>
      </c>
      <c r="H639" s="6" t="s">
        <v>84</v>
      </c>
      <c r="I639" s="8" t="s">
        <v>93</v>
      </c>
      <c r="J639" s="9">
        <v>1</v>
      </c>
      <c r="K639" s="9">
        <v>254</v>
      </c>
      <c r="L639" s="9">
        <v>2023</v>
      </c>
      <c r="M639" s="8" t="s">
        <v>3609</v>
      </c>
      <c r="N639" s="8" t="s">
        <v>40</v>
      </c>
      <c r="O639" s="8" t="s">
        <v>41</v>
      </c>
      <c r="P639" s="6" t="s">
        <v>75</v>
      </c>
      <c r="Q639" s="8" t="s">
        <v>96</v>
      </c>
      <c r="R639" s="10" t="s">
        <v>2143</v>
      </c>
      <c r="S639" s="11" t="s">
        <v>3610</v>
      </c>
      <c r="T639" s="6"/>
      <c r="U639" s="28" t="str">
        <f>HYPERLINK("https://media.infra-m.ru/2021/2021431/cover/2021431.jpg", "Обложка")</f>
        <v>Обложка</v>
      </c>
      <c r="V639" s="28" t="str">
        <f>HYPERLINK("https://znanium.com/catalog/product/1945240", "Ознакомиться")</f>
        <v>Ознакомиться</v>
      </c>
      <c r="W639" s="8" t="s">
        <v>3611</v>
      </c>
      <c r="X639" s="6"/>
      <c r="Y639" s="6"/>
      <c r="Z639" s="6" t="s">
        <v>136</v>
      </c>
      <c r="AA639" s="6" t="s">
        <v>640</v>
      </c>
    </row>
    <row r="640" spans="1:27" s="4" customFormat="1" ht="51.95" customHeight="1">
      <c r="A640" s="5">
        <v>0</v>
      </c>
      <c r="B640" s="6" t="s">
        <v>3612</v>
      </c>
      <c r="C640" s="13">
        <v>1144.9000000000001</v>
      </c>
      <c r="D640" s="8" t="s">
        <v>3613</v>
      </c>
      <c r="E640" s="8" t="s">
        <v>3597</v>
      </c>
      <c r="F640" s="8" t="s">
        <v>3608</v>
      </c>
      <c r="G640" s="6" t="s">
        <v>37</v>
      </c>
      <c r="H640" s="6" t="s">
        <v>84</v>
      </c>
      <c r="I640" s="8" t="s">
        <v>185</v>
      </c>
      <c r="J640" s="9">
        <v>1</v>
      </c>
      <c r="K640" s="9">
        <v>254</v>
      </c>
      <c r="L640" s="9">
        <v>2023</v>
      </c>
      <c r="M640" s="8" t="s">
        <v>3614</v>
      </c>
      <c r="N640" s="8" t="s">
        <v>40</v>
      </c>
      <c r="O640" s="8" t="s">
        <v>41</v>
      </c>
      <c r="P640" s="6" t="s">
        <v>75</v>
      </c>
      <c r="Q640" s="8" t="s">
        <v>76</v>
      </c>
      <c r="R640" s="10" t="s">
        <v>3615</v>
      </c>
      <c r="S640" s="11" t="s">
        <v>3616</v>
      </c>
      <c r="T640" s="6"/>
      <c r="U640" s="28" t="str">
        <f>HYPERLINK("https://media.infra-m.ru/1934/1934043/cover/1934043.jpg", "Обложка")</f>
        <v>Обложка</v>
      </c>
      <c r="V640" s="28" t="str">
        <f>HYPERLINK("https://znanium.com/catalog/product/1893815", "Ознакомиться")</f>
        <v>Ознакомиться</v>
      </c>
      <c r="W640" s="8" t="s">
        <v>3611</v>
      </c>
      <c r="X640" s="6"/>
      <c r="Y640" s="6"/>
      <c r="Z640" s="6"/>
      <c r="AA640" s="6" t="s">
        <v>855</v>
      </c>
    </row>
    <row r="641" spans="1:27" s="4" customFormat="1" ht="42" customHeight="1">
      <c r="A641" s="5">
        <v>0</v>
      </c>
      <c r="B641" s="6" t="s">
        <v>3617</v>
      </c>
      <c r="C641" s="7">
        <v>610</v>
      </c>
      <c r="D641" s="8" t="s">
        <v>3618</v>
      </c>
      <c r="E641" s="8" t="s">
        <v>3619</v>
      </c>
      <c r="F641" s="8" t="s">
        <v>3620</v>
      </c>
      <c r="G641" s="6" t="s">
        <v>37</v>
      </c>
      <c r="H641" s="6" t="s">
        <v>38</v>
      </c>
      <c r="I641" s="8" t="s">
        <v>93</v>
      </c>
      <c r="J641" s="9">
        <v>1</v>
      </c>
      <c r="K641" s="9">
        <v>160</v>
      </c>
      <c r="L641" s="9">
        <v>2022</v>
      </c>
      <c r="M641" s="8" t="s">
        <v>3621</v>
      </c>
      <c r="N641" s="8" t="s">
        <v>40</v>
      </c>
      <c r="O641" s="8" t="s">
        <v>41</v>
      </c>
      <c r="P641" s="6" t="s">
        <v>2566</v>
      </c>
      <c r="Q641" s="8" t="s">
        <v>96</v>
      </c>
      <c r="R641" s="10" t="s">
        <v>181</v>
      </c>
      <c r="S641" s="11"/>
      <c r="T641" s="6"/>
      <c r="U641" s="28" t="str">
        <f>HYPERLINK("https://media.infra-m.ru/1864/1864192/cover/1864192.jpg", "Обложка")</f>
        <v>Обложка</v>
      </c>
      <c r="V641" s="28" t="str">
        <f>HYPERLINK("https://znanium.com/catalog/product/1864192", "Ознакомиться")</f>
        <v>Ознакомиться</v>
      </c>
      <c r="W641" s="8" t="s">
        <v>114</v>
      </c>
      <c r="X641" s="6"/>
      <c r="Y641" s="6"/>
      <c r="Z641" s="6" t="s">
        <v>136</v>
      </c>
      <c r="AA641" s="6" t="s">
        <v>79</v>
      </c>
    </row>
    <row r="642" spans="1:27" s="4" customFormat="1" ht="51.95" customHeight="1">
      <c r="A642" s="5">
        <v>0</v>
      </c>
      <c r="B642" s="6" t="s">
        <v>3622</v>
      </c>
      <c r="C642" s="7">
        <v>974</v>
      </c>
      <c r="D642" s="8" t="s">
        <v>3623</v>
      </c>
      <c r="E642" s="8" t="s">
        <v>3619</v>
      </c>
      <c r="F642" s="8" t="s">
        <v>2246</v>
      </c>
      <c r="G642" s="6" t="s">
        <v>37</v>
      </c>
      <c r="H642" s="6" t="s">
        <v>84</v>
      </c>
      <c r="I642" s="8" t="s">
        <v>185</v>
      </c>
      <c r="J642" s="9">
        <v>1</v>
      </c>
      <c r="K642" s="9">
        <v>209</v>
      </c>
      <c r="L642" s="9">
        <v>2023</v>
      </c>
      <c r="M642" s="8" t="s">
        <v>3624</v>
      </c>
      <c r="N642" s="8" t="s">
        <v>40</v>
      </c>
      <c r="O642" s="8" t="s">
        <v>41</v>
      </c>
      <c r="P642" s="6" t="s">
        <v>75</v>
      </c>
      <c r="Q642" s="8" t="s">
        <v>76</v>
      </c>
      <c r="R642" s="10" t="s">
        <v>3625</v>
      </c>
      <c r="S642" s="11" t="s">
        <v>3626</v>
      </c>
      <c r="T642" s="6"/>
      <c r="U642" s="28" t="str">
        <f>HYPERLINK("https://media.infra-m.ru/2113/2113847/cover/2113847.jpg", "Обложка")</f>
        <v>Обложка</v>
      </c>
      <c r="V642" s="28" t="str">
        <f>HYPERLINK("https://znanium.com/catalog/product/2113846", "Ознакомиться")</f>
        <v>Ознакомиться</v>
      </c>
      <c r="W642" s="8" t="s">
        <v>2249</v>
      </c>
      <c r="X642" s="6"/>
      <c r="Y642" s="6"/>
      <c r="Z642" s="6"/>
      <c r="AA642" s="6" t="s">
        <v>343</v>
      </c>
    </row>
    <row r="643" spans="1:27" s="4" customFormat="1" ht="51.95" customHeight="1">
      <c r="A643" s="5">
        <v>0</v>
      </c>
      <c r="B643" s="6" t="s">
        <v>3627</v>
      </c>
      <c r="C643" s="7">
        <v>980</v>
      </c>
      <c r="D643" s="8" t="s">
        <v>3628</v>
      </c>
      <c r="E643" s="8" t="s">
        <v>3619</v>
      </c>
      <c r="F643" s="8" t="s">
        <v>2246</v>
      </c>
      <c r="G643" s="6" t="s">
        <v>58</v>
      </c>
      <c r="H643" s="6" t="s">
        <v>84</v>
      </c>
      <c r="I643" s="8" t="s">
        <v>93</v>
      </c>
      <c r="J643" s="9">
        <v>1</v>
      </c>
      <c r="K643" s="9">
        <v>209</v>
      </c>
      <c r="L643" s="9">
        <v>2023</v>
      </c>
      <c r="M643" s="8" t="s">
        <v>3629</v>
      </c>
      <c r="N643" s="8" t="s">
        <v>40</v>
      </c>
      <c r="O643" s="8" t="s">
        <v>41</v>
      </c>
      <c r="P643" s="6" t="s">
        <v>75</v>
      </c>
      <c r="Q643" s="8" t="s">
        <v>96</v>
      </c>
      <c r="R643" s="10" t="s">
        <v>3630</v>
      </c>
      <c r="S643" s="11" t="s">
        <v>3631</v>
      </c>
      <c r="T643" s="6"/>
      <c r="U643" s="28" t="str">
        <f>HYPERLINK("https://media.infra-m.ru/1903/1903981/cover/1903981.jpg", "Обложка")</f>
        <v>Обложка</v>
      </c>
      <c r="V643" s="28" t="str">
        <f>HYPERLINK("https://znanium.com/catalog/product/1903981", "Ознакомиться")</f>
        <v>Ознакомиться</v>
      </c>
      <c r="W643" s="8" t="s">
        <v>2249</v>
      </c>
      <c r="X643" s="6"/>
      <c r="Y643" s="6"/>
      <c r="Z643" s="6" t="s">
        <v>136</v>
      </c>
      <c r="AA643" s="6" t="s">
        <v>408</v>
      </c>
    </row>
    <row r="644" spans="1:27" s="4" customFormat="1" ht="51.95" customHeight="1">
      <c r="A644" s="5">
        <v>0</v>
      </c>
      <c r="B644" s="6" t="s">
        <v>3632</v>
      </c>
      <c r="C644" s="13">
        <v>1610</v>
      </c>
      <c r="D644" s="8" t="s">
        <v>3633</v>
      </c>
      <c r="E644" s="8" t="s">
        <v>3634</v>
      </c>
      <c r="F644" s="8" t="s">
        <v>3608</v>
      </c>
      <c r="G644" s="6" t="s">
        <v>37</v>
      </c>
      <c r="H644" s="6" t="s">
        <v>84</v>
      </c>
      <c r="I644" s="8" t="s">
        <v>316</v>
      </c>
      <c r="J644" s="9">
        <v>1</v>
      </c>
      <c r="K644" s="9">
        <v>353</v>
      </c>
      <c r="L644" s="9">
        <v>2023</v>
      </c>
      <c r="M644" s="8" t="s">
        <v>3635</v>
      </c>
      <c r="N644" s="8" t="s">
        <v>40</v>
      </c>
      <c r="O644" s="8" t="s">
        <v>41</v>
      </c>
      <c r="P644" s="6" t="s">
        <v>95</v>
      </c>
      <c r="Q644" s="8" t="s">
        <v>157</v>
      </c>
      <c r="R644" s="10" t="s">
        <v>122</v>
      </c>
      <c r="S644" s="11" t="s">
        <v>3636</v>
      </c>
      <c r="T644" s="6"/>
      <c r="U644" s="28" t="str">
        <f>HYPERLINK("https://media.infra-m.ru/1901/1901771/cover/1901771.jpg", "Обложка")</f>
        <v>Обложка</v>
      </c>
      <c r="V644" s="28" t="str">
        <f>HYPERLINK("https://znanium.com/catalog/product/1901771", "Ознакомиться")</f>
        <v>Ознакомиться</v>
      </c>
      <c r="W644" s="8" t="s">
        <v>3611</v>
      </c>
      <c r="X644" s="6"/>
      <c r="Y644" s="6"/>
      <c r="Z644" s="6"/>
      <c r="AA644" s="6" t="s">
        <v>46</v>
      </c>
    </row>
    <row r="645" spans="1:27" s="4" customFormat="1" ht="42" customHeight="1">
      <c r="A645" s="5">
        <v>0</v>
      </c>
      <c r="B645" s="6" t="s">
        <v>3637</v>
      </c>
      <c r="C645" s="7">
        <v>870</v>
      </c>
      <c r="D645" s="8" t="s">
        <v>3638</v>
      </c>
      <c r="E645" s="8" t="s">
        <v>3639</v>
      </c>
      <c r="F645" s="8" t="s">
        <v>3640</v>
      </c>
      <c r="G645" s="6" t="s">
        <v>37</v>
      </c>
      <c r="H645" s="6" t="s">
        <v>38</v>
      </c>
      <c r="I645" s="8"/>
      <c r="J645" s="9">
        <v>1</v>
      </c>
      <c r="K645" s="9">
        <v>224</v>
      </c>
      <c r="L645" s="9">
        <v>2022</v>
      </c>
      <c r="M645" s="8" t="s">
        <v>3641</v>
      </c>
      <c r="N645" s="8" t="s">
        <v>40</v>
      </c>
      <c r="O645" s="8" t="s">
        <v>41</v>
      </c>
      <c r="P645" s="6" t="s">
        <v>42</v>
      </c>
      <c r="Q645" s="8" t="s">
        <v>43</v>
      </c>
      <c r="R645" s="10" t="s">
        <v>87</v>
      </c>
      <c r="S645" s="11"/>
      <c r="T645" s="6"/>
      <c r="U645" s="28" t="str">
        <f>HYPERLINK("https://media.infra-m.ru/1858/1858563/cover/1858563.jpg", "Обложка")</f>
        <v>Обложка</v>
      </c>
      <c r="V645" s="28" t="str">
        <f>HYPERLINK("https://znanium.com/catalog/product/1858563", "Ознакомиться")</f>
        <v>Ознакомиться</v>
      </c>
      <c r="W645" s="8" t="s">
        <v>78</v>
      </c>
      <c r="X645" s="6"/>
      <c r="Y645" s="6"/>
      <c r="Z645" s="6"/>
      <c r="AA645" s="6" t="s">
        <v>79</v>
      </c>
    </row>
    <row r="646" spans="1:27" s="4" customFormat="1" ht="42" customHeight="1">
      <c r="A646" s="5">
        <v>0</v>
      </c>
      <c r="B646" s="6" t="s">
        <v>3642</v>
      </c>
      <c r="C646" s="13">
        <v>1220</v>
      </c>
      <c r="D646" s="8" t="s">
        <v>3643</v>
      </c>
      <c r="E646" s="8" t="s">
        <v>3644</v>
      </c>
      <c r="F646" s="8" t="s">
        <v>3645</v>
      </c>
      <c r="G646" s="6" t="s">
        <v>37</v>
      </c>
      <c r="H646" s="6" t="s">
        <v>38</v>
      </c>
      <c r="I646" s="8"/>
      <c r="J646" s="9">
        <v>1</v>
      </c>
      <c r="K646" s="9">
        <v>320</v>
      </c>
      <c r="L646" s="9">
        <v>2021</v>
      </c>
      <c r="M646" s="8" t="s">
        <v>3646</v>
      </c>
      <c r="N646" s="8" t="s">
        <v>40</v>
      </c>
      <c r="O646" s="8" t="s">
        <v>41</v>
      </c>
      <c r="P646" s="6" t="s">
        <v>42</v>
      </c>
      <c r="Q646" s="8" t="s">
        <v>43</v>
      </c>
      <c r="R646" s="10" t="s">
        <v>3647</v>
      </c>
      <c r="S646" s="11"/>
      <c r="T646" s="6"/>
      <c r="U646" s="28" t="str">
        <f>HYPERLINK("https://media.infra-m.ru/1342/1342206/cover/1342206.jpg", "Обложка")</f>
        <v>Обложка</v>
      </c>
      <c r="V646" s="28" t="str">
        <f>HYPERLINK("https://znanium.com/catalog/product/1342206", "Ознакомиться")</f>
        <v>Ознакомиться</v>
      </c>
      <c r="W646" s="8" t="s">
        <v>114</v>
      </c>
      <c r="X646" s="6"/>
      <c r="Y646" s="6"/>
      <c r="Z646" s="6"/>
      <c r="AA646" s="6" t="s">
        <v>115</v>
      </c>
    </row>
    <row r="647" spans="1:27" s="4" customFormat="1" ht="42" customHeight="1">
      <c r="A647" s="5">
        <v>0</v>
      </c>
      <c r="B647" s="6" t="s">
        <v>3648</v>
      </c>
      <c r="C647" s="7">
        <v>390</v>
      </c>
      <c r="D647" s="8" t="s">
        <v>3649</v>
      </c>
      <c r="E647" s="8" t="s">
        <v>3650</v>
      </c>
      <c r="F647" s="8" t="s">
        <v>716</v>
      </c>
      <c r="G647" s="6" t="s">
        <v>800</v>
      </c>
      <c r="H647" s="6" t="s">
        <v>38</v>
      </c>
      <c r="I647" s="8"/>
      <c r="J647" s="9">
        <v>1</v>
      </c>
      <c r="K647" s="9">
        <v>40</v>
      </c>
      <c r="L647" s="9">
        <v>2022</v>
      </c>
      <c r="M647" s="8" t="s">
        <v>3651</v>
      </c>
      <c r="N647" s="8" t="s">
        <v>40</v>
      </c>
      <c r="O647" s="8" t="s">
        <v>41</v>
      </c>
      <c r="P647" s="6" t="s">
        <v>42</v>
      </c>
      <c r="Q647" s="8" t="s">
        <v>43</v>
      </c>
      <c r="R647" s="10" t="s">
        <v>776</v>
      </c>
      <c r="S647" s="11"/>
      <c r="T647" s="6"/>
      <c r="U647" s="28" t="str">
        <f>HYPERLINK("https://media.infra-m.ru/1876/1876248/cover/1876248.jpg", "Обложка")</f>
        <v>Обложка</v>
      </c>
      <c r="V647" s="28" t="str">
        <f>HYPERLINK("https://znanium.com/catalog/product/1876248", "Ознакомиться")</f>
        <v>Ознакомиться</v>
      </c>
      <c r="W647" s="8" t="s">
        <v>78</v>
      </c>
      <c r="X647" s="6"/>
      <c r="Y647" s="6"/>
      <c r="Z647" s="6"/>
      <c r="AA647" s="6" t="s">
        <v>298</v>
      </c>
    </row>
    <row r="648" spans="1:27" s="4" customFormat="1" ht="51.95" customHeight="1">
      <c r="A648" s="5">
        <v>0</v>
      </c>
      <c r="B648" s="6" t="s">
        <v>3652</v>
      </c>
      <c r="C648" s="13">
        <v>1200</v>
      </c>
      <c r="D648" s="8" t="s">
        <v>3653</v>
      </c>
      <c r="E648" s="8" t="s">
        <v>3654</v>
      </c>
      <c r="F648" s="8" t="s">
        <v>3655</v>
      </c>
      <c r="G648" s="6" t="s">
        <v>37</v>
      </c>
      <c r="H648" s="6" t="s">
        <v>84</v>
      </c>
      <c r="I648" s="8" t="s">
        <v>316</v>
      </c>
      <c r="J648" s="9">
        <v>1</v>
      </c>
      <c r="K648" s="9">
        <v>227</v>
      </c>
      <c r="L648" s="9">
        <v>2024</v>
      </c>
      <c r="M648" s="8" t="s">
        <v>3656</v>
      </c>
      <c r="N648" s="8" t="s">
        <v>40</v>
      </c>
      <c r="O648" s="8" t="s">
        <v>41</v>
      </c>
      <c r="P648" s="6" t="s">
        <v>75</v>
      </c>
      <c r="Q648" s="8" t="s">
        <v>157</v>
      </c>
      <c r="R648" s="10" t="s">
        <v>3657</v>
      </c>
      <c r="S648" s="11" t="s">
        <v>3658</v>
      </c>
      <c r="T648" s="6"/>
      <c r="U648" s="28" t="str">
        <f>HYPERLINK("https://media.infra-m.ru/2087/2087718/cover/2087718.jpg", "Обложка")</f>
        <v>Обложка</v>
      </c>
      <c r="V648" s="28" t="str">
        <f>HYPERLINK("https://znanium.com/catalog/product/2087718", "Ознакомиться")</f>
        <v>Ознакомиться</v>
      </c>
      <c r="W648" s="8" t="s">
        <v>3659</v>
      </c>
      <c r="X648" s="6"/>
      <c r="Y648" s="6"/>
      <c r="Z648" s="6"/>
      <c r="AA648" s="6" t="s">
        <v>343</v>
      </c>
    </row>
    <row r="649" spans="1:27" s="4" customFormat="1" ht="51.95" customHeight="1">
      <c r="A649" s="5">
        <v>0</v>
      </c>
      <c r="B649" s="6" t="s">
        <v>3660</v>
      </c>
      <c r="C649" s="7">
        <v>230</v>
      </c>
      <c r="D649" s="8" t="s">
        <v>3661</v>
      </c>
      <c r="E649" s="8" t="s">
        <v>3662</v>
      </c>
      <c r="F649" s="8" t="s">
        <v>3663</v>
      </c>
      <c r="G649" s="6" t="s">
        <v>800</v>
      </c>
      <c r="H649" s="6" t="s">
        <v>38</v>
      </c>
      <c r="I649" s="8"/>
      <c r="J649" s="9">
        <v>1</v>
      </c>
      <c r="K649" s="9">
        <v>36</v>
      </c>
      <c r="L649" s="9">
        <v>2021</v>
      </c>
      <c r="M649" s="8" t="s">
        <v>3664</v>
      </c>
      <c r="N649" s="8" t="s">
        <v>40</v>
      </c>
      <c r="O649" s="8" t="s">
        <v>41</v>
      </c>
      <c r="P649" s="6" t="s">
        <v>75</v>
      </c>
      <c r="Q649" s="8" t="s">
        <v>76</v>
      </c>
      <c r="R649" s="10" t="s">
        <v>3665</v>
      </c>
      <c r="S649" s="11"/>
      <c r="T649" s="6"/>
      <c r="U649" s="28" t="str">
        <f>HYPERLINK("https://media.infra-m.ru/1257/1257645/cover/1257645.jpg", "Обложка")</f>
        <v>Обложка</v>
      </c>
      <c r="V649" s="28" t="str">
        <f>HYPERLINK("https://znanium.com/catalog/product/1257645", "Ознакомиться")</f>
        <v>Ознакомиться</v>
      </c>
      <c r="W649" s="8" t="s">
        <v>114</v>
      </c>
      <c r="X649" s="6"/>
      <c r="Y649" s="6"/>
      <c r="Z649" s="6"/>
      <c r="AA649" s="6" t="s">
        <v>79</v>
      </c>
    </row>
    <row r="650" spans="1:27" s="4" customFormat="1" ht="44.1" customHeight="1">
      <c r="A650" s="5">
        <v>0</v>
      </c>
      <c r="B650" s="6" t="s">
        <v>3666</v>
      </c>
      <c r="C650" s="7">
        <v>541.9</v>
      </c>
      <c r="D650" s="8" t="s">
        <v>3667</v>
      </c>
      <c r="E650" s="8" t="s">
        <v>3668</v>
      </c>
      <c r="F650" s="8" t="s">
        <v>3669</v>
      </c>
      <c r="G650" s="6" t="s">
        <v>26</v>
      </c>
      <c r="H650" s="6" t="s">
        <v>38</v>
      </c>
      <c r="I650" s="8"/>
      <c r="J650" s="14">
        <v>0</v>
      </c>
      <c r="K650" s="9">
        <v>320</v>
      </c>
      <c r="L650" s="9">
        <v>2016</v>
      </c>
      <c r="M650" s="8" t="s">
        <v>3670</v>
      </c>
      <c r="N650" s="8" t="s">
        <v>40</v>
      </c>
      <c r="O650" s="8" t="s">
        <v>41</v>
      </c>
      <c r="P650" s="6" t="s">
        <v>2805</v>
      </c>
      <c r="Q650" s="8" t="s">
        <v>43</v>
      </c>
      <c r="R650" s="10"/>
      <c r="S650" s="11"/>
      <c r="T650" s="6"/>
      <c r="U650" s="28" t="str">
        <f>HYPERLINK("https://media.infra-m.ru/0765/0765890/cover/765890.jpg", "Обложка")</f>
        <v>Обложка</v>
      </c>
      <c r="V650" s="12"/>
      <c r="W650" s="8" t="s">
        <v>1356</v>
      </c>
      <c r="X650" s="6"/>
      <c r="Y650" s="6"/>
      <c r="Z650" s="6"/>
      <c r="AA650" s="6" t="s">
        <v>88</v>
      </c>
    </row>
    <row r="651" spans="1:27" s="4" customFormat="1" ht="42" customHeight="1">
      <c r="A651" s="5">
        <v>0</v>
      </c>
      <c r="B651" s="6" t="s">
        <v>3671</v>
      </c>
      <c r="C651" s="13">
        <v>1489.9</v>
      </c>
      <c r="D651" s="8" t="s">
        <v>3672</v>
      </c>
      <c r="E651" s="8" t="s">
        <v>3673</v>
      </c>
      <c r="F651" s="8" t="s">
        <v>3674</v>
      </c>
      <c r="G651" s="6" t="s">
        <v>58</v>
      </c>
      <c r="H651" s="6" t="s">
        <v>38</v>
      </c>
      <c r="I651" s="8"/>
      <c r="J651" s="9">
        <v>1</v>
      </c>
      <c r="K651" s="9">
        <v>388</v>
      </c>
      <c r="L651" s="9">
        <v>2022</v>
      </c>
      <c r="M651" s="8" t="s">
        <v>3675</v>
      </c>
      <c r="N651" s="8" t="s">
        <v>40</v>
      </c>
      <c r="O651" s="8" t="s">
        <v>41</v>
      </c>
      <c r="P651" s="6" t="s">
        <v>95</v>
      </c>
      <c r="Q651" s="8" t="s">
        <v>157</v>
      </c>
      <c r="R651" s="10" t="s">
        <v>2306</v>
      </c>
      <c r="S651" s="11"/>
      <c r="T651" s="6"/>
      <c r="U651" s="28" t="str">
        <f>HYPERLINK("https://media.infra-m.ru/1842/1842504/cover/1842504.jpg", "Обложка")</f>
        <v>Обложка</v>
      </c>
      <c r="V651" s="28" t="str">
        <f>HYPERLINK("https://znanium.com/catalog/product/1842504", "Ознакомиться")</f>
        <v>Ознакомиться</v>
      </c>
      <c r="W651" s="8" t="s">
        <v>535</v>
      </c>
      <c r="X651" s="6"/>
      <c r="Y651" s="6"/>
      <c r="Z651" s="6"/>
      <c r="AA651" s="6" t="s">
        <v>343</v>
      </c>
    </row>
    <row r="652" spans="1:27" s="4" customFormat="1" ht="51.95" customHeight="1">
      <c r="A652" s="5">
        <v>0</v>
      </c>
      <c r="B652" s="6" t="s">
        <v>3676</v>
      </c>
      <c r="C652" s="7">
        <v>310</v>
      </c>
      <c r="D652" s="8" t="s">
        <v>3677</v>
      </c>
      <c r="E652" s="8" t="s">
        <v>3678</v>
      </c>
      <c r="F652" s="8" t="s">
        <v>3679</v>
      </c>
      <c r="G652" s="6" t="s">
        <v>51</v>
      </c>
      <c r="H652" s="6" t="s">
        <v>38</v>
      </c>
      <c r="I652" s="8"/>
      <c r="J652" s="9">
        <v>1</v>
      </c>
      <c r="K652" s="9">
        <v>52</v>
      </c>
      <c r="L652" s="9">
        <v>2023</v>
      </c>
      <c r="M652" s="8" t="s">
        <v>3680</v>
      </c>
      <c r="N652" s="8" t="s">
        <v>40</v>
      </c>
      <c r="O652" s="8" t="s">
        <v>41</v>
      </c>
      <c r="P652" s="6" t="s">
        <v>2566</v>
      </c>
      <c r="Q652" s="8" t="s">
        <v>76</v>
      </c>
      <c r="R652" s="10" t="s">
        <v>77</v>
      </c>
      <c r="S652" s="11"/>
      <c r="T652" s="6"/>
      <c r="U652" s="28" t="str">
        <f>HYPERLINK("https://media.infra-m.ru/1965/1965740/cover/1965740.jpg", "Обложка")</f>
        <v>Обложка</v>
      </c>
      <c r="V652" s="28" t="str">
        <f>HYPERLINK("https://znanium.com/catalog/product/1965740", "Ознакомиться")</f>
        <v>Ознакомиться</v>
      </c>
      <c r="W652" s="8" t="s">
        <v>114</v>
      </c>
      <c r="X652" s="6"/>
      <c r="Y652" s="6"/>
      <c r="Z652" s="6"/>
      <c r="AA652" s="6" t="s">
        <v>79</v>
      </c>
    </row>
    <row r="653" spans="1:27" s="4" customFormat="1" ht="51.95" customHeight="1">
      <c r="A653" s="5">
        <v>0</v>
      </c>
      <c r="B653" s="6" t="s">
        <v>3681</v>
      </c>
      <c r="C653" s="13">
        <v>1160</v>
      </c>
      <c r="D653" s="8" t="s">
        <v>3682</v>
      </c>
      <c r="E653" s="8" t="s">
        <v>3683</v>
      </c>
      <c r="F653" s="8" t="s">
        <v>3684</v>
      </c>
      <c r="G653" s="6" t="s">
        <v>58</v>
      </c>
      <c r="H653" s="6" t="s">
        <v>38</v>
      </c>
      <c r="I653" s="8"/>
      <c r="J653" s="9">
        <v>1</v>
      </c>
      <c r="K653" s="9">
        <v>240</v>
      </c>
      <c r="L653" s="9">
        <v>2024</v>
      </c>
      <c r="M653" s="8" t="s">
        <v>3685</v>
      </c>
      <c r="N653" s="8" t="s">
        <v>40</v>
      </c>
      <c r="O653" s="8" t="s">
        <v>41</v>
      </c>
      <c r="P653" s="6" t="s">
        <v>95</v>
      </c>
      <c r="Q653" s="8" t="s">
        <v>680</v>
      </c>
      <c r="R653" s="10" t="s">
        <v>1900</v>
      </c>
      <c r="S653" s="11"/>
      <c r="T653" s="6"/>
      <c r="U653" s="28" t="str">
        <f>HYPERLINK("https://media.infra-m.ru/2090/2090013/cover/2090013.jpg", "Обложка")</f>
        <v>Обложка</v>
      </c>
      <c r="V653" s="28" t="str">
        <f>HYPERLINK("https://znanium.com/catalog/product/2090013", "Ознакомиться")</f>
        <v>Ознакомиться</v>
      </c>
      <c r="W653" s="8"/>
      <c r="X653" s="6" t="s">
        <v>381</v>
      </c>
      <c r="Y653" s="6"/>
      <c r="Z653" s="6"/>
      <c r="AA653" s="6" t="s">
        <v>100</v>
      </c>
    </row>
    <row r="654" spans="1:27" s="4" customFormat="1" ht="42" customHeight="1">
      <c r="A654" s="5">
        <v>0</v>
      </c>
      <c r="B654" s="6" t="s">
        <v>3686</v>
      </c>
      <c r="C654" s="7">
        <v>760</v>
      </c>
      <c r="D654" s="8" t="s">
        <v>3687</v>
      </c>
      <c r="E654" s="8" t="s">
        <v>3688</v>
      </c>
      <c r="F654" s="8" t="s">
        <v>3663</v>
      </c>
      <c r="G654" s="6" t="s">
        <v>58</v>
      </c>
      <c r="H654" s="6" t="s">
        <v>38</v>
      </c>
      <c r="I654" s="8" t="s">
        <v>93</v>
      </c>
      <c r="J654" s="9">
        <v>1</v>
      </c>
      <c r="K654" s="9">
        <v>152</v>
      </c>
      <c r="L654" s="9">
        <v>2024</v>
      </c>
      <c r="M654" s="8" t="s">
        <v>3689</v>
      </c>
      <c r="N654" s="8" t="s">
        <v>40</v>
      </c>
      <c r="O654" s="8" t="s">
        <v>41</v>
      </c>
      <c r="P654" s="6" t="s">
        <v>95</v>
      </c>
      <c r="Q654" s="8" t="s">
        <v>96</v>
      </c>
      <c r="R654" s="10" t="s">
        <v>3690</v>
      </c>
      <c r="S654" s="11"/>
      <c r="T654" s="6"/>
      <c r="U654" s="28" t="str">
        <f>HYPERLINK("https://media.infra-m.ru/2082/2082008/cover/2082008.jpg", "Обложка")</f>
        <v>Обложка</v>
      </c>
      <c r="V654" s="28" t="str">
        <f>HYPERLINK("https://znanium.com/catalog/product/2082008", "Ознакомиться")</f>
        <v>Ознакомиться</v>
      </c>
      <c r="W654" s="8" t="s">
        <v>114</v>
      </c>
      <c r="X654" s="6" t="s">
        <v>475</v>
      </c>
      <c r="Y654" s="6"/>
      <c r="Z654" s="6"/>
      <c r="AA654" s="6" t="s">
        <v>382</v>
      </c>
    </row>
    <row r="655" spans="1:27" s="4" customFormat="1" ht="42" customHeight="1">
      <c r="A655" s="5">
        <v>0</v>
      </c>
      <c r="B655" s="6" t="s">
        <v>3691</v>
      </c>
      <c r="C655" s="7">
        <v>684.9</v>
      </c>
      <c r="D655" s="8" t="s">
        <v>3692</v>
      </c>
      <c r="E655" s="8" t="s">
        <v>3683</v>
      </c>
      <c r="F655" s="8" t="s">
        <v>3663</v>
      </c>
      <c r="G655" s="6" t="s">
        <v>58</v>
      </c>
      <c r="H655" s="6" t="s">
        <v>38</v>
      </c>
      <c r="I655" s="8" t="s">
        <v>93</v>
      </c>
      <c r="J655" s="9">
        <v>1</v>
      </c>
      <c r="K655" s="9">
        <v>152</v>
      </c>
      <c r="L655" s="9">
        <v>2023</v>
      </c>
      <c r="M655" s="8" t="s">
        <v>3693</v>
      </c>
      <c r="N655" s="8" t="s">
        <v>40</v>
      </c>
      <c r="O655" s="8" t="s">
        <v>41</v>
      </c>
      <c r="P655" s="6" t="s">
        <v>95</v>
      </c>
      <c r="Q655" s="8" t="s">
        <v>96</v>
      </c>
      <c r="R655" s="10" t="s">
        <v>3690</v>
      </c>
      <c r="S655" s="11"/>
      <c r="T655" s="6"/>
      <c r="U655" s="28" t="str">
        <f>HYPERLINK("https://media.infra-m.ru/1920/1920322/cover/1920322.jpg", "Обложка")</f>
        <v>Обложка</v>
      </c>
      <c r="V655" s="28" t="str">
        <f>HYPERLINK("https://znanium.com/catalog/product/2082008", "Ознакомиться")</f>
        <v>Ознакомиться</v>
      </c>
      <c r="W655" s="8" t="s">
        <v>114</v>
      </c>
      <c r="X655" s="6"/>
      <c r="Y655" s="6"/>
      <c r="Z655" s="6"/>
      <c r="AA655" s="6" t="s">
        <v>79</v>
      </c>
    </row>
    <row r="656" spans="1:27" s="4" customFormat="1" ht="51.95" customHeight="1">
      <c r="A656" s="5">
        <v>0</v>
      </c>
      <c r="B656" s="6" t="s">
        <v>3694</v>
      </c>
      <c r="C656" s="7">
        <v>930</v>
      </c>
      <c r="D656" s="8" t="s">
        <v>3695</v>
      </c>
      <c r="E656" s="8" t="s">
        <v>3683</v>
      </c>
      <c r="F656" s="8" t="s">
        <v>3696</v>
      </c>
      <c r="G656" s="6" t="s">
        <v>37</v>
      </c>
      <c r="H656" s="6" t="s">
        <v>52</v>
      </c>
      <c r="I656" s="8" t="s">
        <v>120</v>
      </c>
      <c r="J656" s="9">
        <v>1</v>
      </c>
      <c r="K656" s="9">
        <v>206</v>
      </c>
      <c r="L656" s="9">
        <v>2023</v>
      </c>
      <c r="M656" s="8" t="s">
        <v>3697</v>
      </c>
      <c r="N656" s="8" t="s">
        <v>40</v>
      </c>
      <c r="O656" s="8" t="s">
        <v>41</v>
      </c>
      <c r="P656" s="6" t="s">
        <v>75</v>
      </c>
      <c r="Q656" s="8" t="s">
        <v>1199</v>
      </c>
      <c r="R656" s="10" t="s">
        <v>77</v>
      </c>
      <c r="S656" s="11"/>
      <c r="T656" s="6"/>
      <c r="U656" s="28" t="str">
        <f>HYPERLINK("https://media.infra-m.ru/1911/1911113/cover/1911113.jpg", "Обложка")</f>
        <v>Обложка</v>
      </c>
      <c r="V656" s="28" t="str">
        <f>HYPERLINK("https://znanium.com/catalog/product/1911113", "Ознакомиться")</f>
        <v>Ознакомиться</v>
      </c>
      <c r="W656" s="8" t="s">
        <v>813</v>
      </c>
      <c r="X656" s="6"/>
      <c r="Y656" s="6"/>
      <c r="Z656" s="6"/>
      <c r="AA656" s="6" t="s">
        <v>115</v>
      </c>
    </row>
    <row r="657" spans="1:27" s="4" customFormat="1" ht="51.95" customHeight="1">
      <c r="A657" s="5">
        <v>0</v>
      </c>
      <c r="B657" s="6" t="s">
        <v>3698</v>
      </c>
      <c r="C657" s="7">
        <v>729.9</v>
      </c>
      <c r="D657" s="8" t="s">
        <v>3699</v>
      </c>
      <c r="E657" s="8" t="s">
        <v>3700</v>
      </c>
      <c r="F657" s="8" t="s">
        <v>3701</v>
      </c>
      <c r="G657" s="6" t="s">
        <v>37</v>
      </c>
      <c r="H657" s="6" t="s">
        <v>38</v>
      </c>
      <c r="I657" s="8"/>
      <c r="J657" s="9">
        <v>1</v>
      </c>
      <c r="K657" s="9">
        <v>160</v>
      </c>
      <c r="L657" s="9">
        <v>2022</v>
      </c>
      <c r="M657" s="8" t="s">
        <v>3702</v>
      </c>
      <c r="N657" s="8" t="s">
        <v>40</v>
      </c>
      <c r="O657" s="8" t="s">
        <v>41</v>
      </c>
      <c r="P657" s="6" t="s">
        <v>75</v>
      </c>
      <c r="Q657" s="8" t="s">
        <v>157</v>
      </c>
      <c r="R657" s="10" t="s">
        <v>3703</v>
      </c>
      <c r="S657" s="11"/>
      <c r="T657" s="6"/>
      <c r="U657" s="28" t="str">
        <f>HYPERLINK("https://media.infra-m.ru/1831/1831635/cover/1831635.jpg", "Обложка")</f>
        <v>Обложка</v>
      </c>
      <c r="V657" s="28" t="str">
        <f>HYPERLINK("https://znanium.com/catalog/product/1831635", "Ознакомиться")</f>
        <v>Ознакомиться</v>
      </c>
      <c r="W657" s="8" t="s">
        <v>114</v>
      </c>
      <c r="X657" s="6"/>
      <c r="Y657" s="6"/>
      <c r="Z657" s="6"/>
      <c r="AA657" s="6" t="s">
        <v>143</v>
      </c>
    </row>
    <row r="658" spans="1:27" s="4" customFormat="1" ht="51.95" customHeight="1">
      <c r="A658" s="5">
        <v>0</v>
      </c>
      <c r="B658" s="6" t="s">
        <v>3704</v>
      </c>
      <c r="C658" s="7">
        <v>590</v>
      </c>
      <c r="D658" s="8" t="s">
        <v>3705</v>
      </c>
      <c r="E658" s="8" t="s">
        <v>3706</v>
      </c>
      <c r="F658" s="8" t="s">
        <v>3701</v>
      </c>
      <c r="G658" s="6" t="s">
        <v>58</v>
      </c>
      <c r="H658" s="6" t="s">
        <v>38</v>
      </c>
      <c r="I658" s="8" t="s">
        <v>93</v>
      </c>
      <c r="J658" s="9">
        <v>1</v>
      </c>
      <c r="K658" s="9">
        <v>160</v>
      </c>
      <c r="L658" s="9">
        <v>2019</v>
      </c>
      <c r="M658" s="8" t="s">
        <v>3707</v>
      </c>
      <c r="N658" s="8" t="s">
        <v>40</v>
      </c>
      <c r="O658" s="8" t="s">
        <v>41</v>
      </c>
      <c r="P658" s="6" t="s">
        <v>75</v>
      </c>
      <c r="Q658" s="8" t="s">
        <v>96</v>
      </c>
      <c r="R658" s="10" t="s">
        <v>3708</v>
      </c>
      <c r="S658" s="11"/>
      <c r="T658" s="6"/>
      <c r="U658" s="28" t="str">
        <f>HYPERLINK("https://media.infra-m.ru/1029/1029669/cover/1029669.jpg", "Обложка")</f>
        <v>Обложка</v>
      </c>
      <c r="V658" s="28" t="str">
        <f>HYPERLINK("https://znanium.com/catalog/product/1029669", "Ознакомиться")</f>
        <v>Ознакомиться</v>
      </c>
      <c r="W658" s="8" t="s">
        <v>114</v>
      </c>
      <c r="X658" s="6"/>
      <c r="Y658" s="6"/>
      <c r="Z658" s="6" t="s">
        <v>612</v>
      </c>
      <c r="AA658" s="6" t="s">
        <v>79</v>
      </c>
    </row>
    <row r="659" spans="1:27" s="4" customFormat="1" ht="51.95" customHeight="1">
      <c r="A659" s="5">
        <v>0</v>
      </c>
      <c r="B659" s="6" t="s">
        <v>3709</v>
      </c>
      <c r="C659" s="7">
        <v>650</v>
      </c>
      <c r="D659" s="8" t="s">
        <v>3710</v>
      </c>
      <c r="E659" s="8" t="s">
        <v>3706</v>
      </c>
      <c r="F659" s="8" t="s">
        <v>3701</v>
      </c>
      <c r="G659" s="6" t="s">
        <v>37</v>
      </c>
      <c r="H659" s="6" t="s">
        <v>38</v>
      </c>
      <c r="I659" s="8"/>
      <c r="J659" s="9">
        <v>1</v>
      </c>
      <c r="K659" s="9">
        <v>160</v>
      </c>
      <c r="L659" s="9">
        <v>2021</v>
      </c>
      <c r="M659" s="8" t="s">
        <v>3711</v>
      </c>
      <c r="N659" s="8" t="s">
        <v>40</v>
      </c>
      <c r="O659" s="8" t="s">
        <v>41</v>
      </c>
      <c r="P659" s="6" t="s">
        <v>75</v>
      </c>
      <c r="Q659" s="8" t="s">
        <v>157</v>
      </c>
      <c r="R659" s="10" t="s">
        <v>3703</v>
      </c>
      <c r="S659" s="11"/>
      <c r="T659" s="6"/>
      <c r="U659" s="28" t="str">
        <f>HYPERLINK("https://media.infra-m.ru/1224/1224742/cover/1224742.jpg", "Обложка")</f>
        <v>Обложка</v>
      </c>
      <c r="V659" s="28" t="str">
        <f>HYPERLINK("https://znanium.com/catalog/product/1831635", "Ознакомиться")</f>
        <v>Ознакомиться</v>
      </c>
      <c r="W659" s="8" t="s">
        <v>114</v>
      </c>
      <c r="X659" s="6"/>
      <c r="Y659" s="6"/>
      <c r="Z659" s="6"/>
      <c r="AA659" s="6" t="s">
        <v>46</v>
      </c>
    </row>
    <row r="660" spans="1:27" s="4" customFormat="1" ht="51.95" customHeight="1">
      <c r="A660" s="5">
        <v>0</v>
      </c>
      <c r="B660" s="6" t="s">
        <v>3712</v>
      </c>
      <c r="C660" s="13">
        <v>1040</v>
      </c>
      <c r="D660" s="8" t="s">
        <v>3713</v>
      </c>
      <c r="E660" s="8" t="s">
        <v>3714</v>
      </c>
      <c r="F660" s="8" t="s">
        <v>3715</v>
      </c>
      <c r="G660" s="6" t="s">
        <v>37</v>
      </c>
      <c r="H660" s="6" t="s">
        <v>38</v>
      </c>
      <c r="I660" s="8"/>
      <c r="J660" s="9">
        <v>1</v>
      </c>
      <c r="K660" s="9">
        <v>224</v>
      </c>
      <c r="L660" s="9">
        <v>2024</v>
      </c>
      <c r="M660" s="8" t="s">
        <v>3716</v>
      </c>
      <c r="N660" s="8" t="s">
        <v>40</v>
      </c>
      <c r="O660" s="8" t="s">
        <v>41</v>
      </c>
      <c r="P660" s="6" t="s">
        <v>75</v>
      </c>
      <c r="Q660" s="8" t="s">
        <v>76</v>
      </c>
      <c r="R660" s="10" t="s">
        <v>235</v>
      </c>
      <c r="S660" s="11"/>
      <c r="T660" s="6"/>
      <c r="U660" s="28" t="str">
        <f>HYPERLINK("https://media.infra-m.ru/2118/2118058/cover/2118058.jpg", "Обложка")</f>
        <v>Обложка</v>
      </c>
      <c r="V660" s="28" t="str">
        <f>HYPERLINK("https://znanium.com/catalog/product/1838398", "Ознакомиться")</f>
        <v>Ознакомиться</v>
      </c>
      <c r="W660" s="8" t="s">
        <v>3717</v>
      </c>
      <c r="X660" s="6"/>
      <c r="Y660" s="6"/>
      <c r="Z660" s="6"/>
      <c r="AA660" s="6" t="s">
        <v>836</v>
      </c>
    </row>
    <row r="661" spans="1:27" s="4" customFormat="1" ht="51.95" customHeight="1">
      <c r="A661" s="5">
        <v>0</v>
      </c>
      <c r="B661" s="6" t="s">
        <v>3718</v>
      </c>
      <c r="C661" s="7">
        <v>850</v>
      </c>
      <c r="D661" s="8" t="s">
        <v>3719</v>
      </c>
      <c r="E661" s="8" t="s">
        <v>3720</v>
      </c>
      <c r="F661" s="8" t="s">
        <v>3721</v>
      </c>
      <c r="G661" s="6" t="s">
        <v>51</v>
      </c>
      <c r="H661" s="6" t="s">
        <v>52</v>
      </c>
      <c r="I661" s="8" t="s">
        <v>185</v>
      </c>
      <c r="J661" s="9">
        <v>1</v>
      </c>
      <c r="K661" s="9">
        <v>188</v>
      </c>
      <c r="L661" s="9">
        <v>2018</v>
      </c>
      <c r="M661" s="8" t="s">
        <v>3722</v>
      </c>
      <c r="N661" s="8" t="s">
        <v>40</v>
      </c>
      <c r="O661" s="8" t="s">
        <v>41</v>
      </c>
      <c r="P661" s="6" t="s">
        <v>75</v>
      </c>
      <c r="Q661" s="8" t="s">
        <v>76</v>
      </c>
      <c r="R661" s="10" t="s">
        <v>3723</v>
      </c>
      <c r="S661" s="11" t="s">
        <v>3724</v>
      </c>
      <c r="T661" s="6"/>
      <c r="U661" s="28" t="str">
        <f>HYPERLINK("https://media.infra-m.ru/1891/1891830/cover/1891830.jpg", "Обложка")</f>
        <v>Обложка</v>
      </c>
      <c r="V661" s="28" t="str">
        <f>HYPERLINK("https://znanium.com/catalog/product/1004348", "Ознакомиться")</f>
        <v>Ознакомиться</v>
      </c>
      <c r="W661" s="8"/>
      <c r="X661" s="6"/>
      <c r="Y661" s="6"/>
      <c r="Z661" s="6"/>
      <c r="AA661" s="6" t="s">
        <v>2582</v>
      </c>
    </row>
    <row r="662" spans="1:27" s="4" customFormat="1" ht="51.95" customHeight="1">
      <c r="A662" s="5">
        <v>0</v>
      </c>
      <c r="B662" s="6" t="s">
        <v>3725</v>
      </c>
      <c r="C662" s="7">
        <v>334.9</v>
      </c>
      <c r="D662" s="8" t="s">
        <v>3726</v>
      </c>
      <c r="E662" s="8" t="s">
        <v>3727</v>
      </c>
      <c r="F662" s="8" t="s">
        <v>3728</v>
      </c>
      <c r="G662" s="6" t="s">
        <v>51</v>
      </c>
      <c r="H662" s="6" t="s">
        <v>84</v>
      </c>
      <c r="I662" s="8" t="s">
        <v>85</v>
      </c>
      <c r="J662" s="9">
        <v>1</v>
      </c>
      <c r="K662" s="9">
        <v>96</v>
      </c>
      <c r="L662" s="9">
        <v>2020</v>
      </c>
      <c r="M662" s="8" t="s">
        <v>3729</v>
      </c>
      <c r="N662" s="8" t="s">
        <v>40</v>
      </c>
      <c r="O662" s="8" t="s">
        <v>41</v>
      </c>
      <c r="P662" s="6" t="s">
        <v>42</v>
      </c>
      <c r="Q662" s="8" t="s">
        <v>43</v>
      </c>
      <c r="R662" s="10" t="s">
        <v>3730</v>
      </c>
      <c r="S662" s="11"/>
      <c r="T662" s="6"/>
      <c r="U662" s="28" t="str">
        <f>HYPERLINK("https://media.infra-m.ru/1047/1047133/cover/1047133.jpg", "Обложка")</f>
        <v>Обложка</v>
      </c>
      <c r="V662" s="28" t="str">
        <f>HYPERLINK("https://znanium.com/catalog/product/1047133", "Ознакомиться")</f>
        <v>Ознакомиться</v>
      </c>
      <c r="W662" s="8" t="s">
        <v>45</v>
      </c>
      <c r="X662" s="6"/>
      <c r="Y662" s="6"/>
      <c r="Z662" s="6"/>
      <c r="AA662" s="6" t="s">
        <v>88</v>
      </c>
    </row>
    <row r="663" spans="1:27" s="4" customFormat="1" ht="44.1" customHeight="1">
      <c r="A663" s="5">
        <v>0</v>
      </c>
      <c r="B663" s="6" t="s">
        <v>3731</v>
      </c>
      <c r="C663" s="7">
        <v>890</v>
      </c>
      <c r="D663" s="8" t="s">
        <v>3732</v>
      </c>
      <c r="E663" s="8" t="s">
        <v>3733</v>
      </c>
      <c r="F663" s="8" t="s">
        <v>3734</v>
      </c>
      <c r="G663" s="6" t="s">
        <v>58</v>
      </c>
      <c r="H663" s="6" t="s">
        <v>84</v>
      </c>
      <c r="I663" s="8" t="s">
        <v>85</v>
      </c>
      <c r="J663" s="9">
        <v>1</v>
      </c>
      <c r="K663" s="9">
        <v>184</v>
      </c>
      <c r="L663" s="9">
        <v>2023</v>
      </c>
      <c r="M663" s="8" t="s">
        <v>3735</v>
      </c>
      <c r="N663" s="8" t="s">
        <v>40</v>
      </c>
      <c r="O663" s="8" t="s">
        <v>41</v>
      </c>
      <c r="P663" s="6" t="s">
        <v>68</v>
      </c>
      <c r="Q663" s="8" t="s">
        <v>43</v>
      </c>
      <c r="R663" s="10" t="s">
        <v>3736</v>
      </c>
      <c r="S663" s="11"/>
      <c r="T663" s="6"/>
      <c r="U663" s="28" t="str">
        <f>HYPERLINK("https://media.infra-m.ru/1913/1913257/cover/1913257.jpg", "Обложка")</f>
        <v>Обложка</v>
      </c>
      <c r="V663" s="28" t="str">
        <f>HYPERLINK("https://znanium.com/catalog/product/1913257", "Ознакомиться")</f>
        <v>Ознакомиться</v>
      </c>
      <c r="W663" s="8" t="s">
        <v>45</v>
      </c>
      <c r="X663" s="6" t="s">
        <v>407</v>
      </c>
      <c r="Y663" s="6"/>
      <c r="Z663" s="6"/>
      <c r="AA663" s="6" t="s">
        <v>408</v>
      </c>
    </row>
    <row r="664" spans="1:27" s="4" customFormat="1" ht="51.95" customHeight="1">
      <c r="A664" s="5">
        <v>0</v>
      </c>
      <c r="B664" s="6" t="s">
        <v>3737</v>
      </c>
      <c r="C664" s="7">
        <v>920</v>
      </c>
      <c r="D664" s="8" t="s">
        <v>3738</v>
      </c>
      <c r="E664" s="8" t="s">
        <v>3739</v>
      </c>
      <c r="F664" s="8" t="s">
        <v>3740</v>
      </c>
      <c r="G664" s="6" t="s">
        <v>58</v>
      </c>
      <c r="H664" s="6" t="s">
        <v>84</v>
      </c>
      <c r="I664" s="8" t="s">
        <v>85</v>
      </c>
      <c r="J664" s="9">
        <v>1</v>
      </c>
      <c r="K664" s="9">
        <v>192</v>
      </c>
      <c r="L664" s="9">
        <v>2023</v>
      </c>
      <c r="M664" s="8" t="s">
        <v>3741</v>
      </c>
      <c r="N664" s="8" t="s">
        <v>40</v>
      </c>
      <c r="O664" s="8" t="s">
        <v>41</v>
      </c>
      <c r="P664" s="6" t="s">
        <v>68</v>
      </c>
      <c r="Q664" s="8" t="s">
        <v>43</v>
      </c>
      <c r="R664" s="10" t="s">
        <v>3742</v>
      </c>
      <c r="S664" s="11"/>
      <c r="T664" s="6"/>
      <c r="U664" s="28" t="str">
        <f>HYPERLINK("https://media.infra-m.ru/1913/1913261/cover/1913261.jpg", "Обложка")</f>
        <v>Обложка</v>
      </c>
      <c r="V664" s="28" t="str">
        <f>HYPERLINK("https://znanium.com/catalog/product/1913261", "Ознакомиться")</f>
        <v>Ознакомиться</v>
      </c>
      <c r="W664" s="8" t="s">
        <v>45</v>
      </c>
      <c r="X664" s="6" t="s">
        <v>407</v>
      </c>
      <c r="Y664" s="6"/>
      <c r="Z664" s="6"/>
      <c r="AA664" s="6" t="s">
        <v>408</v>
      </c>
    </row>
    <row r="665" spans="1:27" s="4" customFormat="1" ht="44.1" customHeight="1">
      <c r="A665" s="5">
        <v>0</v>
      </c>
      <c r="B665" s="6" t="s">
        <v>3743</v>
      </c>
      <c r="C665" s="7">
        <v>744</v>
      </c>
      <c r="D665" s="8" t="s">
        <v>3744</v>
      </c>
      <c r="E665" s="8" t="s">
        <v>3745</v>
      </c>
      <c r="F665" s="8" t="s">
        <v>3746</v>
      </c>
      <c r="G665" s="6" t="s">
        <v>51</v>
      </c>
      <c r="H665" s="6" t="s">
        <v>38</v>
      </c>
      <c r="I665" s="8"/>
      <c r="J665" s="9">
        <v>1</v>
      </c>
      <c r="K665" s="9">
        <v>160</v>
      </c>
      <c r="L665" s="9">
        <v>2024</v>
      </c>
      <c r="M665" s="8" t="s">
        <v>3747</v>
      </c>
      <c r="N665" s="8" t="s">
        <v>40</v>
      </c>
      <c r="O665" s="8" t="s">
        <v>41</v>
      </c>
      <c r="P665" s="6" t="s">
        <v>811</v>
      </c>
      <c r="Q665" s="8" t="s">
        <v>296</v>
      </c>
      <c r="R665" s="10" t="s">
        <v>304</v>
      </c>
      <c r="S665" s="11"/>
      <c r="T665" s="6"/>
      <c r="U665" s="28" t="str">
        <f>HYPERLINK("https://media.infra-m.ru/1913/1913003/cover/1913003.jpg", "Обложка")</f>
        <v>Обложка</v>
      </c>
      <c r="V665" s="28" t="str">
        <f>HYPERLINK("https://znanium.com/catalog/product/991879", "Ознакомиться")</f>
        <v>Ознакомиться</v>
      </c>
      <c r="W665" s="8" t="s">
        <v>114</v>
      </c>
      <c r="X665" s="6"/>
      <c r="Y665" s="6"/>
      <c r="Z665" s="6"/>
      <c r="AA665" s="6" t="s">
        <v>298</v>
      </c>
    </row>
    <row r="666" spans="1:27" s="4" customFormat="1" ht="51.95" customHeight="1">
      <c r="A666" s="5">
        <v>0</v>
      </c>
      <c r="B666" s="6" t="s">
        <v>3748</v>
      </c>
      <c r="C666" s="13">
        <v>2200</v>
      </c>
      <c r="D666" s="8" t="s">
        <v>3749</v>
      </c>
      <c r="E666" s="8" t="s">
        <v>3750</v>
      </c>
      <c r="F666" s="8" t="s">
        <v>3751</v>
      </c>
      <c r="G666" s="6" t="s">
        <v>37</v>
      </c>
      <c r="H666" s="6" t="s">
        <v>52</v>
      </c>
      <c r="I666" s="8" t="s">
        <v>1605</v>
      </c>
      <c r="J666" s="9">
        <v>1</v>
      </c>
      <c r="K666" s="9">
        <v>578</v>
      </c>
      <c r="L666" s="9">
        <v>2022</v>
      </c>
      <c r="M666" s="8" t="s">
        <v>3752</v>
      </c>
      <c r="N666" s="8" t="s">
        <v>40</v>
      </c>
      <c r="O666" s="8" t="s">
        <v>41</v>
      </c>
      <c r="P666" s="6" t="s">
        <v>42</v>
      </c>
      <c r="Q666" s="8" t="s">
        <v>43</v>
      </c>
      <c r="R666" s="10" t="s">
        <v>3753</v>
      </c>
      <c r="S666" s="11"/>
      <c r="T666" s="6"/>
      <c r="U666" s="28" t="str">
        <f>HYPERLINK("https://media.infra-m.ru/1864/1864102/cover/1864102.jpg", "Обложка")</f>
        <v>Обложка</v>
      </c>
      <c r="V666" s="12"/>
      <c r="W666" s="8" t="s">
        <v>458</v>
      </c>
      <c r="X666" s="6"/>
      <c r="Y666" s="6"/>
      <c r="Z666" s="6"/>
      <c r="AA666" s="6" t="s">
        <v>62</v>
      </c>
    </row>
    <row r="667" spans="1:27" s="4" customFormat="1" ht="42" customHeight="1">
      <c r="A667" s="5">
        <v>0</v>
      </c>
      <c r="B667" s="6" t="s">
        <v>3754</v>
      </c>
      <c r="C667" s="13">
        <v>1764.9</v>
      </c>
      <c r="D667" s="8" t="s">
        <v>3755</v>
      </c>
      <c r="E667" s="8" t="s">
        <v>3756</v>
      </c>
      <c r="F667" s="8" t="s">
        <v>3757</v>
      </c>
      <c r="G667" s="6" t="s">
        <v>58</v>
      </c>
      <c r="H667" s="6" t="s">
        <v>84</v>
      </c>
      <c r="I667" s="8" t="s">
        <v>85</v>
      </c>
      <c r="J667" s="9">
        <v>1</v>
      </c>
      <c r="K667" s="9">
        <v>392</v>
      </c>
      <c r="L667" s="9">
        <v>2023</v>
      </c>
      <c r="M667" s="8" t="s">
        <v>3758</v>
      </c>
      <c r="N667" s="8" t="s">
        <v>40</v>
      </c>
      <c r="O667" s="8" t="s">
        <v>41</v>
      </c>
      <c r="P667" s="6" t="s">
        <v>42</v>
      </c>
      <c r="Q667" s="8" t="s">
        <v>43</v>
      </c>
      <c r="R667" s="10" t="s">
        <v>113</v>
      </c>
      <c r="S667" s="11"/>
      <c r="T667" s="6"/>
      <c r="U667" s="28" t="str">
        <f>HYPERLINK("https://media.infra-m.ru/2030/2030893/cover/2030893.jpg", "Обложка")</f>
        <v>Обложка</v>
      </c>
      <c r="V667" s="28" t="str">
        <f>HYPERLINK("https://znanium.com/catalog/product/999885", "Ознакомиться")</f>
        <v>Ознакомиться</v>
      </c>
      <c r="W667" s="8" t="s">
        <v>45</v>
      </c>
      <c r="X667" s="6"/>
      <c r="Y667" s="6"/>
      <c r="Z667" s="6"/>
      <c r="AA667" s="6" t="s">
        <v>79</v>
      </c>
    </row>
    <row r="668" spans="1:27" s="4" customFormat="1" ht="42" customHeight="1">
      <c r="A668" s="5">
        <v>0</v>
      </c>
      <c r="B668" s="6" t="s">
        <v>3759</v>
      </c>
      <c r="C668" s="13">
        <v>1550</v>
      </c>
      <c r="D668" s="8" t="s">
        <v>3760</v>
      </c>
      <c r="E668" s="8" t="s">
        <v>3761</v>
      </c>
      <c r="F668" s="8" t="s">
        <v>3762</v>
      </c>
      <c r="G668" s="6" t="s">
        <v>37</v>
      </c>
      <c r="H668" s="6" t="s">
        <v>38</v>
      </c>
      <c r="I668" s="8"/>
      <c r="J668" s="9">
        <v>1</v>
      </c>
      <c r="K668" s="9">
        <v>344</v>
      </c>
      <c r="L668" s="9">
        <v>2023</v>
      </c>
      <c r="M668" s="8" t="s">
        <v>3763</v>
      </c>
      <c r="N668" s="8" t="s">
        <v>40</v>
      </c>
      <c r="O668" s="8" t="s">
        <v>41</v>
      </c>
      <c r="P668" s="6" t="s">
        <v>42</v>
      </c>
      <c r="Q668" s="8" t="s">
        <v>43</v>
      </c>
      <c r="R668" s="10" t="s">
        <v>304</v>
      </c>
      <c r="S668" s="11"/>
      <c r="T668" s="6"/>
      <c r="U668" s="28" t="str">
        <f>HYPERLINK("https://media.infra-m.ru/1895/1895642/cover/1895642.jpg", "Обложка")</f>
        <v>Обложка</v>
      </c>
      <c r="V668" s="28" t="str">
        <f>HYPERLINK("https://znanium.com/catalog/product/1895642", "Ознакомиться")</f>
        <v>Ознакомиться</v>
      </c>
      <c r="W668" s="8" t="s">
        <v>78</v>
      </c>
      <c r="X668" s="6"/>
      <c r="Y668" s="6"/>
      <c r="Z668" s="6"/>
      <c r="AA668" s="6" t="s">
        <v>79</v>
      </c>
    </row>
    <row r="669" spans="1:27" s="4" customFormat="1" ht="51.95" customHeight="1">
      <c r="A669" s="5">
        <v>0</v>
      </c>
      <c r="B669" s="6" t="s">
        <v>3764</v>
      </c>
      <c r="C669" s="7">
        <v>600</v>
      </c>
      <c r="D669" s="8" t="s">
        <v>3765</v>
      </c>
      <c r="E669" s="8" t="s">
        <v>3766</v>
      </c>
      <c r="F669" s="8" t="s">
        <v>3767</v>
      </c>
      <c r="G669" s="6" t="s">
        <v>51</v>
      </c>
      <c r="H669" s="6" t="s">
        <v>84</v>
      </c>
      <c r="I669" s="8" t="s">
        <v>251</v>
      </c>
      <c r="J669" s="9">
        <v>1</v>
      </c>
      <c r="K669" s="9">
        <v>159</v>
      </c>
      <c r="L669" s="9">
        <v>2022</v>
      </c>
      <c r="M669" s="8" t="s">
        <v>3768</v>
      </c>
      <c r="N669" s="8" t="s">
        <v>40</v>
      </c>
      <c r="O669" s="8" t="s">
        <v>41</v>
      </c>
      <c r="P669" s="6" t="s">
        <v>42</v>
      </c>
      <c r="Q669" s="8" t="s">
        <v>43</v>
      </c>
      <c r="R669" s="10" t="s">
        <v>3769</v>
      </c>
      <c r="S669" s="11"/>
      <c r="T669" s="6"/>
      <c r="U669" s="28" t="str">
        <f>HYPERLINK("https://media.infra-m.ru/1739/1739424/cover/1739424.jpg", "Обложка")</f>
        <v>Обложка</v>
      </c>
      <c r="V669" s="28" t="str">
        <f>HYPERLINK("https://znanium.com/catalog/product/906414", "Ознакомиться")</f>
        <v>Ознакомиться</v>
      </c>
      <c r="W669" s="8" t="s">
        <v>3770</v>
      </c>
      <c r="X669" s="6"/>
      <c r="Y669" s="6"/>
      <c r="Z669" s="6"/>
      <c r="AA669" s="6" t="s">
        <v>415</v>
      </c>
    </row>
    <row r="670" spans="1:27" s="4" customFormat="1" ht="51.95" customHeight="1">
      <c r="A670" s="5">
        <v>0</v>
      </c>
      <c r="B670" s="6" t="s">
        <v>3771</v>
      </c>
      <c r="C670" s="13">
        <v>1190</v>
      </c>
      <c r="D670" s="8" t="s">
        <v>3772</v>
      </c>
      <c r="E670" s="8" t="s">
        <v>3773</v>
      </c>
      <c r="F670" s="8" t="s">
        <v>3774</v>
      </c>
      <c r="G670" s="6" t="s">
        <v>37</v>
      </c>
      <c r="H670" s="6" t="s">
        <v>38</v>
      </c>
      <c r="I670" s="8"/>
      <c r="J670" s="9">
        <v>1</v>
      </c>
      <c r="K670" s="9">
        <v>304</v>
      </c>
      <c r="L670" s="9">
        <v>2022</v>
      </c>
      <c r="M670" s="8" t="s">
        <v>3775</v>
      </c>
      <c r="N670" s="8" t="s">
        <v>40</v>
      </c>
      <c r="O670" s="8" t="s">
        <v>41</v>
      </c>
      <c r="P670" s="6" t="s">
        <v>42</v>
      </c>
      <c r="Q670" s="8" t="s">
        <v>43</v>
      </c>
      <c r="R670" s="10" t="s">
        <v>3776</v>
      </c>
      <c r="S670" s="11"/>
      <c r="T670" s="6"/>
      <c r="U670" s="28" t="str">
        <f>HYPERLINK("https://media.infra-m.ru/1840/1840904/cover/1840904.jpg", "Обложка")</f>
        <v>Обложка</v>
      </c>
      <c r="V670" s="28" t="str">
        <f>HYPERLINK("https://znanium.com/catalog/product/1840904", "Ознакомиться")</f>
        <v>Ознакомиться</v>
      </c>
      <c r="W670" s="8" t="s">
        <v>45</v>
      </c>
      <c r="X670" s="6"/>
      <c r="Y670" s="6"/>
      <c r="Z670" s="6"/>
      <c r="AA670" s="6" t="s">
        <v>148</v>
      </c>
    </row>
    <row r="671" spans="1:27" s="4" customFormat="1" ht="44.1" customHeight="1">
      <c r="A671" s="5">
        <v>0</v>
      </c>
      <c r="B671" s="6" t="s">
        <v>3777</v>
      </c>
      <c r="C671" s="7">
        <v>814.9</v>
      </c>
      <c r="D671" s="8" t="s">
        <v>3778</v>
      </c>
      <c r="E671" s="8" t="s">
        <v>3779</v>
      </c>
      <c r="F671" s="8" t="s">
        <v>3780</v>
      </c>
      <c r="G671" s="6" t="s">
        <v>58</v>
      </c>
      <c r="H671" s="6" t="s">
        <v>38</v>
      </c>
      <c r="I671" s="8"/>
      <c r="J671" s="9">
        <v>1</v>
      </c>
      <c r="K671" s="9">
        <v>208</v>
      </c>
      <c r="L671" s="9">
        <v>2022</v>
      </c>
      <c r="M671" s="8" t="s">
        <v>3781</v>
      </c>
      <c r="N671" s="8" t="s">
        <v>40</v>
      </c>
      <c r="O671" s="8" t="s">
        <v>41</v>
      </c>
      <c r="P671" s="6" t="s">
        <v>42</v>
      </c>
      <c r="Q671" s="8" t="s">
        <v>43</v>
      </c>
      <c r="R671" s="10" t="s">
        <v>3782</v>
      </c>
      <c r="S671" s="11"/>
      <c r="T671" s="6"/>
      <c r="U671" s="28" t="str">
        <f>HYPERLINK("https://media.infra-m.ru/1852/1852205/cover/1852205.jpg", "Обложка")</f>
        <v>Обложка</v>
      </c>
      <c r="V671" s="28" t="str">
        <f>HYPERLINK("https://znanium.com/catalog/product/1852205", "Ознакомиться")</f>
        <v>Ознакомиться</v>
      </c>
      <c r="W671" s="8" t="s">
        <v>3783</v>
      </c>
      <c r="X671" s="6"/>
      <c r="Y671" s="6"/>
      <c r="Z671" s="6"/>
      <c r="AA671" s="6" t="s">
        <v>422</v>
      </c>
    </row>
    <row r="672" spans="1:27" s="4" customFormat="1" ht="44.1" customHeight="1">
      <c r="A672" s="5">
        <v>0</v>
      </c>
      <c r="B672" s="6" t="s">
        <v>3784</v>
      </c>
      <c r="C672" s="7">
        <v>940</v>
      </c>
      <c r="D672" s="8" t="s">
        <v>3785</v>
      </c>
      <c r="E672" s="8" t="s">
        <v>3786</v>
      </c>
      <c r="F672" s="8" t="s">
        <v>3787</v>
      </c>
      <c r="G672" s="6" t="s">
        <v>51</v>
      </c>
      <c r="H672" s="6" t="s">
        <v>38</v>
      </c>
      <c r="I672" s="8"/>
      <c r="J672" s="9">
        <v>1</v>
      </c>
      <c r="K672" s="9">
        <v>208</v>
      </c>
      <c r="L672" s="9">
        <v>2023</v>
      </c>
      <c r="M672" s="8" t="s">
        <v>3788</v>
      </c>
      <c r="N672" s="8" t="s">
        <v>40</v>
      </c>
      <c r="O672" s="8" t="s">
        <v>41</v>
      </c>
      <c r="P672" s="6" t="s">
        <v>42</v>
      </c>
      <c r="Q672" s="8" t="s">
        <v>43</v>
      </c>
      <c r="R672" s="10" t="s">
        <v>3789</v>
      </c>
      <c r="S672" s="11"/>
      <c r="T672" s="6"/>
      <c r="U672" s="28" t="str">
        <f>HYPERLINK("https://media.infra-m.ru/2023/2023175/cover/2023175.jpg", "Обложка")</f>
        <v>Обложка</v>
      </c>
      <c r="V672" s="28" t="str">
        <f>HYPERLINK("https://znanium.com/catalog/product/2023175", "Ознакомиться")</f>
        <v>Ознакомиться</v>
      </c>
      <c r="W672" s="8" t="s">
        <v>3088</v>
      </c>
      <c r="X672" s="6"/>
      <c r="Y672" s="6"/>
      <c r="Z672" s="6"/>
      <c r="AA672" s="6" t="s">
        <v>298</v>
      </c>
    </row>
    <row r="673" spans="1:27" s="4" customFormat="1" ht="51.95" customHeight="1">
      <c r="A673" s="5">
        <v>0</v>
      </c>
      <c r="B673" s="6" t="s">
        <v>3790</v>
      </c>
      <c r="C673" s="7">
        <v>894</v>
      </c>
      <c r="D673" s="8" t="s">
        <v>3791</v>
      </c>
      <c r="E673" s="8" t="s">
        <v>3792</v>
      </c>
      <c r="F673" s="8" t="s">
        <v>3793</v>
      </c>
      <c r="G673" s="6" t="s">
        <v>37</v>
      </c>
      <c r="H673" s="6" t="s">
        <v>38</v>
      </c>
      <c r="I673" s="8"/>
      <c r="J673" s="9">
        <v>1</v>
      </c>
      <c r="K673" s="9">
        <v>192</v>
      </c>
      <c r="L673" s="9">
        <v>2023</v>
      </c>
      <c r="M673" s="8" t="s">
        <v>3794</v>
      </c>
      <c r="N673" s="8" t="s">
        <v>40</v>
      </c>
      <c r="O673" s="8" t="s">
        <v>41</v>
      </c>
      <c r="P673" s="6" t="s">
        <v>42</v>
      </c>
      <c r="Q673" s="8" t="s">
        <v>43</v>
      </c>
      <c r="R673" s="10" t="s">
        <v>3795</v>
      </c>
      <c r="S673" s="11"/>
      <c r="T673" s="6"/>
      <c r="U673" s="28" t="str">
        <f>HYPERLINK("https://media.infra-m.ru/2076/2076891/cover/2076891.jpg", "Обложка")</f>
        <v>Обложка</v>
      </c>
      <c r="V673" s="28" t="str">
        <f>HYPERLINK("https://znanium.com/catalog/product/2073365", "Ознакомиться")</f>
        <v>Ознакомиться</v>
      </c>
      <c r="W673" s="8" t="s">
        <v>45</v>
      </c>
      <c r="X673" s="6"/>
      <c r="Y673" s="6"/>
      <c r="Z673" s="6"/>
      <c r="AA673" s="6" t="s">
        <v>62</v>
      </c>
    </row>
    <row r="674" spans="1:27" s="4" customFormat="1" ht="42" customHeight="1">
      <c r="A674" s="5">
        <v>0</v>
      </c>
      <c r="B674" s="6" t="s">
        <v>3796</v>
      </c>
      <c r="C674" s="13">
        <v>1684.9</v>
      </c>
      <c r="D674" s="8" t="s">
        <v>3797</v>
      </c>
      <c r="E674" s="8" t="s">
        <v>3798</v>
      </c>
      <c r="F674" s="8" t="s">
        <v>2025</v>
      </c>
      <c r="G674" s="6" t="s">
        <v>51</v>
      </c>
      <c r="H674" s="6" t="s">
        <v>38</v>
      </c>
      <c r="I674" s="8"/>
      <c r="J674" s="9">
        <v>1</v>
      </c>
      <c r="K674" s="9">
        <v>432</v>
      </c>
      <c r="L674" s="9">
        <v>2022</v>
      </c>
      <c r="M674" s="8" t="s">
        <v>3799</v>
      </c>
      <c r="N674" s="8" t="s">
        <v>40</v>
      </c>
      <c r="O674" s="8" t="s">
        <v>41</v>
      </c>
      <c r="P674" s="6" t="s">
        <v>42</v>
      </c>
      <c r="Q674" s="8" t="s">
        <v>43</v>
      </c>
      <c r="R674" s="10" t="s">
        <v>304</v>
      </c>
      <c r="S674" s="11"/>
      <c r="T674" s="6"/>
      <c r="U674" s="28" t="str">
        <f>HYPERLINK("https://media.infra-m.ru/1850/1850680/cover/1850680.jpg", "Обложка")</f>
        <v>Обложка</v>
      </c>
      <c r="V674" s="28" t="str">
        <f>HYPERLINK("https://znanium.com/catalog/product/1850680", "Ознакомиться")</f>
        <v>Ознакомиться</v>
      </c>
      <c r="W674" s="8" t="s">
        <v>114</v>
      </c>
      <c r="X674" s="6"/>
      <c r="Y674" s="6"/>
      <c r="Z674" s="6"/>
      <c r="AA674" s="6" t="s">
        <v>422</v>
      </c>
    </row>
    <row r="675" spans="1:27" s="4" customFormat="1" ht="44.1" customHeight="1">
      <c r="A675" s="5">
        <v>0</v>
      </c>
      <c r="B675" s="6" t="s">
        <v>3800</v>
      </c>
      <c r="C675" s="13">
        <v>1000</v>
      </c>
      <c r="D675" s="8" t="s">
        <v>3801</v>
      </c>
      <c r="E675" s="8" t="s">
        <v>3802</v>
      </c>
      <c r="F675" s="8" t="s">
        <v>3803</v>
      </c>
      <c r="G675" s="6" t="s">
        <v>37</v>
      </c>
      <c r="H675" s="6" t="s">
        <v>38</v>
      </c>
      <c r="I675" s="8"/>
      <c r="J675" s="9">
        <v>1</v>
      </c>
      <c r="K675" s="9">
        <v>256</v>
      </c>
      <c r="L675" s="9">
        <v>2022</v>
      </c>
      <c r="M675" s="8" t="s">
        <v>3804</v>
      </c>
      <c r="N675" s="8" t="s">
        <v>40</v>
      </c>
      <c r="O675" s="8" t="s">
        <v>41</v>
      </c>
      <c r="P675" s="6" t="s">
        <v>42</v>
      </c>
      <c r="Q675" s="8" t="s">
        <v>43</v>
      </c>
      <c r="R675" s="10" t="s">
        <v>1339</v>
      </c>
      <c r="S675" s="11"/>
      <c r="T675" s="6"/>
      <c r="U675" s="28" t="str">
        <f>HYPERLINK("https://media.infra-m.ru/1864/1864286/cover/1864286.jpg", "Обложка")</f>
        <v>Обложка</v>
      </c>
      <c r="V675" s="28" t="str">
        <f>HYPERLINK("https://znanium.com/catalog/product/1864286", "Ознакомиться")</f>
        <v>Ознакомиться</v>
      </c>
      <c r="W675" s="8" t="s">
        <v>124</v>
      </c>
      <c r="X675" s="6"/>
      <c r="Y675" s="6"/>
      <c r="Z675" s="6"/>
      <c r="AA675" s="6" t="s">
        <v>62</v>
      </c>
    </row>
    <row r="676" spans="1:27" s="4" customFormat="1" ht="51.95" customHeight="1">
      <c r="A676" s="5">
        <v>0</v>
      </c>
      <c r="B676" s="6" t="s">
        <v>3805</v>
      </c>
      <c r="C676" s="7">
        <v>650</v>
      </c>
      <c r="D676" s="8" t="s">
        <v>3806</v>
      </c>
      <c r="E676" s="8" t="s">
        <v>3807</v>
      </c>
      <c r="F676" s="8" t="s">
        <v>3808</v>
      </c>
      <c r="G676" s="6" t="s">
        <v>51</v>
      </c>
      <c r="H676" s="6" t="s">
        <v>38</v>
      </c>
      <c r="I676" s="8"/>
      <c r="J676" s="9">
        <v>1</v>
      </c>
      <c r="K676" s="9">
        <v>176</v>
      </c>
      <c r="L676" s="9">
        <v>2022</v>
      </c>
      <c r="M676" s="8" t="s">
        <v>3809</v>
      </c>
      <c r="N676" s="8" t="s">
        <v>40</v>
      </c>
      <c r="O676" s="8" t="s">
        <v>41</v>
      </c>
      <c r="P676" s="6" t="s">
        <v>42</v>
      </c>
      <c r="Q676" s="8" t="s">
        <v>43</v>
      </c>
      <c r="R676" s="10" t="s">
        <v>3810</v>
      </c>
      <c r="S676" s="11"/>
      <c r="T676" s="6"/>
      <c r="U676" s="28" t="str">
        <f>HYPERLINK("https://media.infra-m.ru/1850/1850135/cover/1850135.jpg", "Обложка")</f>
        <v>Обложка</v>
      </c>
      <c r="V676" s="28" t="str">
        <f>HYPERLINK("https://znanium.com/catalog/product/1850135", "Ознакомиться")</f>
        <v>Ознакомиться</v>
      </c>
      <c r="W676" s="8" t="s">
        <v>195</v>
      </c>
      <c r="X676" s="6"/>
      <c r="Y676" s="6"/>
      <c r="Z676" s="6"/>
      <c r="AA676" s="6" t="s">
        <v>422</v>
      </c>
    </row>
    <row r="677" spans="1:27" s="4" customFormat="1" ht="42" customHeight="1">
      <c r="A677" s="5">
        <v>0</v>
      </c>
      <c r="B677" s="6" t="s">
        <v>3811</v>
      </c>
      <c r="C677" s="7">
        <v>384.9</v>
      </c>
      <c r="D677" s="8" t="s">
        <v>3812</v>
      </c>
      <c r="E677" s="8" t="s">
        <v>3813</v>
      </c>
      <c r="F677" s="8" t="s">
        <v>3814</v>
      </c>
      <c r="G677" s="6" t="s">
        <v>51</v>
      </c>
      <c r="H677" s="6" t="s">
        <v>52</v>
      </c>
      <c r="I677" s="8" t="s">
        <v>1983</v>
      </c>
      <c r="J677" s="9">
        <v>1</v>
      </c>
      <c r="K677" s="9">
        <v>139</v>
      </c>
      <c r="L677" s="9">
        <v>2022</v>
      </c>
      <c r="M677" s="8" t="s">
        <v>3815</v>
      </c>
      <c r="N677" s="8" t="s">
        <v>40</v>
      </c>
      <c r="O677" s="8" t="s">
        <v>41</v>
      </c>
      <c r="P677" s="6" t="s">
        <v>75</v>
      </c>
      <c r="Q677" s="8" t="s">
        <v>76</v>
      </c>
      <c r="R677" s="10" t="s">
        <v>812</v>
      </c>
      <c r="S677" s="11"/>
      <c r="T677" s="6"/>
      <c r="U677" s="28" t="str">
        <f>HYPERLINK("https://media.infra-m.ru/1869/1869369/cover/1869369.jpg", "Обложка")</f>
        <v>Обложка</v>
      </c>
      <c r="V677" s="28" t="str">
        <f>HYPERLINK("https://znanium.com/catalog/product/927499", "Ознакомиться")</f>
        <v>Ознакомиться</v>
      </c>
      <c r="W677" s="8" t="s">
        <v>726</v>
      </c>
      <c r="X677" s="6"/>
      <c r="Y677" s="6"/>
      <c r="Z677" s="6"/>
      <c r="AA677" s="6" t="s">
        <v>215</v>
      </c>
    </row>
    <row r="678" spans="1:27" s="4" customFormat="1" ht="51.95" customHeight="1">
      <c r="A678" s="5">
        <v>0</v>
      </c>
      <c r="B678" s="6" t="s">
        <v>3816</v>
      </c>
      <c r="C678" s="7">
        <v>884.9</v>
      </c>
      <c r="D678" s="8" t="s">
        <v>3817</v>
      </c>
      <c r="E678" s="8" t="s">
        <v>3818</v>
      </c>
      <c r="F678" s="8" t="s">
        <v>191</v>
      </c>
      <c r="G678" s="6" t="s">
        <v>37</v>
      </c>
      <c r="H678" s="6" t="s">
        <v>84</v>
      </c>
      <c r="I678" s="8" t="s">
        <v>93</v>
      </c>
      <c r="J678" s="9">
        <v>1</v>
      </c>
      <c r="K678" s="9">
        <v>195</v>
      </c>
      <c r="L678" s="9">
        <v>2019</v>
      </c>
      <c r="M678" s="8" t="s">
        <v>3819</v>
      </c>
      <c r="N678" s="8" t="s">
        <v>40</v>
      </c>
      <c r="O678" s="8" t="s">
        <v>41</v>
      </c>
      <c r="P678" s="6" t="s">
        <v>75</v>
      </c>
      <c r="Q678" s="8" t="s">
        <v>96</v>
      </c>
      <c r="R678" s="10" t="s">
        <v>181</v>
      </c>
      <c r="S678" s="11" t="s">
        <v>3820</v>
      </c>
      <c r="T678" s="6"/>
      <c r="U678" s="28" t="str">
        <f>HYPERLINK("https://media.infra-m.ru/1914/1914009/cover/1914009.jpg", "Обложка")</f>
        <v>Обложка</v>
      </c>
      <c r="V678" s="28" t="str">
        <f>HYPERLINK("https://znanium.com/catalog/product/1913347", "Ознакомиться")</f>
        <v>Ознакомиться</v>
      </c>
      <c r="W678" s="8" t="s">
        <v>195</v>
      </c>
      <c r="X678" s="6"/>
      <c r="Y678" s="6"/>
      <c r="Z678" s="6"/>
      <c r="AA678" s="6" t="s">
        <v>2290</v>
      </c>
    </row>
    <row r="679" spans="1:27" s="4" customFormat="1" ht="51.95" customHeight="1">
      <c r="A679" s="5">
        <v>0</v>
      </c>
      <c r="B679" s="6" t="s">
        <v>3821</v>
      </c>
      <c r="C679" s="7">
        <v>449.9</v>
      </c>
      <c r="D679" s="8" t="s">
        <v>3822</v>
      </c>
      <c r="E679" s="8" t="s">
        <v>3823</v>
      </c>
      <c r="F679" s="8" t="s">
        <v>191</v>
      </c>
      <c r="G679" s="6" t="s">
        <v>58</v>
      </c>
      <c r="H679" s="6" t="s">
        <v>192</v>
      </c>
      <c r="I679" s="8" t="s">
        <v>2171</v>
      </c>
      <c r="J679" s="9">
        <v>1</v>
      </c>
      <c r="K679" s="9">
        <v>224</v>
      </c>
      <c r="L679" s="9">
        <v>2015</v>
      </c>
      <c r="M679" s="8" t="s">
        <v>3824</v>
      </c>
      <c r="N679" s="8" t="s">
        <v>40</v>
      </c>
      <c r="O679" s="8" t="s">
        <v>41</v>
      </c>
      <c r="P679" s="6" t="s">
        <v>75</v>
      </c>
      <c r="Q679" s="8" t="s">
        <v>96</v>
      </c>
      <c r="R679" s="10" t="s">
        <v>181</v>
      </c>
      <c r="S679" s="11" t="s">
        <v>3825</v>
      </c>
      <c r="T679" s="6"/>
      <c r="U679" s="28" t="str">
        <f>HYPERLINK("https://media.infra-m.ru/0479/0479030/cover/479030.jpg", "Обложка")</f>
        <v>Обложка</v>
      </c>
      <c r="V679" s="28" t="str">
        <f>HYPERLINK("https://znanium.com/catalog/product/1913347", "Ознакомиться")</f>
        <v>Ознакомиться</v>
      </c>
      <c r="W679" s="8" t="s">
        <v>195</v>
      </c>
      <c r="X679" s="6"/>
      <c r="Y679" s="6"/>
      <c r="Z679" s="6"/>
      <c r="AA679" s="6" t="s">
        <v>3826</v>
      </c>
    </row>
    <row r="680" spans="1:27" s="4" customFormat="1" ht="42" customHeight="1">
      <c r="A680" s="5">
        <v>0</v>
      </c>
      <c r="B680" s="6" t="s">
        <v>3827</v>
      </c>
      <c r="C680" s="13">
        <v>2414.9</v>
      </c>
      <c r="D680" s="8" t="s">
        <v>3828</v>
      </c>
      <c r="E680" s="8" t="s">
        <v>3829</v>
      </c>
      <c r="F680" s="8" t="s">
        <v>1909</v>
      </c>
      <c r="G680" s="6" t="s">
        <v>37</v>
      </c>
      <c r="H680" s="6" t="s">
        <v>38</v>
      </c>
      <c r="I680" s="8"/>
      <c r="J680" s="9">
        <v>1</v>
      </c>
      <c r="K680" s="9">
        <v>536</v>
      </c>
      <c r="L680" s="9">
        <v>2023</v>
      </c>
      <c r="M680" s="8" t="s">
        <v>3830</v>
      </c>
      <c r="N680" s="8" t="s">
        <v>40</v>
      </c>
      <c r="O680" s="8" t="s">
        <v>41</v>
      </c>
      <c r="P680" s="6" t="s">
        <v>42</v>
      </c>
      <c r="Q680" s="8" t="s">
        <v>43</v>
      </c>
      <c r="R680" s="10" t="s">
        <v>69</v>
      </c>
      <c r="S680" s="11"/>
      <c r="T680" s="6"/>
      <c r="U680" s="28" t="str">
        <f>HYPERLINK("https://media.infra-m.ru/1895/1895647/cover/1895647.jpg", "Обложка")</f>
        <v>Обложка</v>
      </c>
      <c r="V680" s="28" t="str">
        <f>HYPERLINK("https://znanium.com/catalog/product/1895647", "Ознакомиться")</f>
        <v>Ознакомиться</v>
      </c>
      <c r="W680" s="8" t="s">
        <v>78</v>
      </c>
      <c r="X680" s="6"/>
      <c r="Y680" s="6"/>
      <c r="Z680" s="6"/>
      <c r="AA680" s="6" t="s">
        <v>115</v>
      </c>
    </row>
    <row r="681" spans="1:27" s="4" customFormat="1" ht="44.1" customHeight="1">
      <c r="A681" s="5">
        <v>0</v>
      </c>
      <c r="B681" s="6" t="s">
        <v>3831</v>
      </c>
      <c r="C681" s="13">
        <v>1800</v>
      </c>
      <c r="D681" s="8" t="s">
        <v>3832</v>
      </c>
      <c r="E681" s="8" t="s">
        <v>3833</v>
      </c>
      <c r="F681" s="8" t="s">
        <v>3834</v>
      </c>
      <c r="G681" s="6" t="s">
        <v>37</v>
      </c>
      <c r="H681" s="6" t="s">
        <v>38</v>
      </c>
      <c r="I681" s="8"/>
      <c r="J681" s="9">
        <v>1</v>
      </c>
      <c r="K681" s="9">
        <v>400</v>
      </c>
      <c r="L681" s="9">
        <v>2023</v>
      </c>
      <c r="M681" s="8" t="s">
        <v>3835</v>
      </c>
      <c r="N681" s="8" t="s">
        <v>40</v>
      </c>
      <c r="O681" s="8" t="s">
        <v>41</v>
      </c>
      <c r="P681" s="6" t="s">
        <v>42</v>
      </c>
      <c r="Q681" s="8" t="s">
        <v>43</v>
      </c>
      <c r="R681" s="10" t="s">
        <v>1510</v>
      </c>
      <c r="S681" s="11"/>
      <c r="T681" s="6"/>
      <c r="U681" s="28" t="str">
        <f>HYPERLINK("https://media.infra-m.ru/1927/1927395/cover/1927395.jpg", "Обложка")</f>
        <v>Обложка</v>
      </c>
      <c r="V681" s="28" t="str">
        <f>HYPERLINK("https://znanium.com/catalog/product/1927395", "Ознакомиться")</f>
        <v>Ознакомиться</v>
      </c>
      <c r="W681" s="8" t="s">
        <v>195</v>
      </c>
      <c r="X681" s="6"/>
      <c r="Y681" s="6"/>
      <c r="Z681" s="6"/>
      <c r="AA681" s="6" t="s">
        <v>2442</v>
      </c>
    </row>
    <row r="682" spans="1:27" s="4" customFormat="1" ht="42" customHeight="1">
      <c r="A682" s="5">
        <v>0</v>
      </c>
      <c r="B682" s="6" t="s">
        <v>3836</v>
      </c>
      <c r="C682" s="7">
        <v>250</v>
      </c>
      <c r="D682" s="8" t="s">
        <v>3837</v>
      </c>
      <c r="E682" s="8" t="s">
        <v>3838</v>
      </c>
      <c r="F682" s="8" t="s">
        <v>799</v>
      </c>
      <c r="G682" s="6" t="s">
        <v>51</v>
      </c>
      <c r="H682" s="6" t="s">
        <v>84</v>
      </c>
      <c r="I682" s="8" t="s">
        <v>801</v>
      </c>
      <c r="J682" s="9">
        <v>1</v>
      </c>
      <c r="K682" s="9">
        <v>48</v>
      </c>
      <c r="L682" s="9">
        <v>2023</v>
      </c>
      <c r="M682" s="8" t="s">
        <v>3839</v>
      </c>
      <c r="N682" s="8" t="s">
        <v>40</v>
      </c>
      <c r="O682" s="8" t="s">
        <v>41</v>
      </c>
      <c r="P682" s="6" t="s">
        <v>3840</v>
      </c>
      <c r="Q682" s="8" t="s">
        <v>43</v>
      </c>
      <c r="R682" s="10" t="s">
        <v>340</v>
      </c>
      <c r="S682" s="11"/>
      <c r="T682" s="6"/>
      <c r="U682" s="28" t="str">
        <f>HYPERLINK("https://media.infra-m.ru/2009/2009635/cover/2009635.jpg", "Обложка")</f>
        <v>Обложка</v>
      </c>
      <c r="V682" s="28" t="str">
        <f>HYPERLINK("https://znanium.com/catalog/product/2009635", "Ознакомиться")</f>
        <v>Ознакомиться</v>
      </c>
      <c r="W682" s="8"/>
      <c r="X682" s="6" t="s">
        <v>645</v>
      </c>
      <c r="Y682" s="6"/>
      <c r="Z682" s="6"/>
      <c r="AA682" s="6" t="s">
        <v>408</v>
      </c>
    </row>
    <row r="683" spans="1:27" s="4" customFormat="1" ht="51.95" customHeight="1">
      <c r="A683" s="5">
        <v>0</v>
      </c>
      <c r="B683" s="6" t="s">
        <v>3841</v>
      </c>
      <c r="C683" s="7">
        <v>410</v>
      </c>
      <c r="D683" s="8" t="s">
        <v>3842</v>
      </c>
      <c r="E683" s="8" t="s">
        <v>3843</v>
      </c>
      <c r="F683" s="8" t="s">
        <v>799</v>
      </c>
      <c r="G683" s="6" t="s">
        <v>51</v>
      </c>
      <c r="H683" s="6" t="s">
        <v>84</v>
      </c>
      <c r="I683" s="8" t="s">
        <v>801</v>
      </c>
      <c r="J683" s="9">
        <v>1</v>
      </c>
      <c r="K683" s="9">
        <v>61</v>
      </c>
      <c r="L683" s="9">
        <v>2024</v>
      </c>
      <c r="M683" s="8" t="s">
        <v>3844</v>
      </c>
      <c r="N683" s="8" t="s">
        <v>40</v>
      </c>
      <c r="O683" s="8" t="s">
        <v>41</v>
      </c>
      <c r="P683" s="6" t="s">
        <v>3845</v>
      </c>
      <c r="Q683" s="8" t="s">
        <v>43</v>
      </c>
      <c r="R683" s="10" t="s">
        <v>3846</v>
      </c>
      <c r="S683" s="11"/>
      <c r="T683" s="6"/>
      <c r="U683" s="28" t="str">
        <f>HYPERLINK("https://media.infra-m.ru/2102/2102672/cover/2102672.jpg", "Обложка")</f>
        <v>Обложка</v>
      </c>
      <c r="V683" s="28" t="str">
        <f>HYPERLINK("https://znanium.com/catalog/product/2102672", "Ознакомиться")</f>
        <v>Ознакомиться</v>
      </c>
      <c r="W683" s="8"/>
      <c r="X683" s="6"/>
      <c r="Y683" s="6"/>
      <c r="Z683" s="6"/>
      <c r="AA683" s="6" t="s">
        <v>343</v>
      </c>
    </row>
    <row r="684" spans="1:27" s="4" customFormat="1" ht="42" customHeight="1">
      <c r="A684" s="5">
        <v>0</v>
      </c>
      <c r="B684" s="6" t="s">
        <v>3847</v>
      </c>
      <c r="C684" s="7">
        <v>890</v>
      </c>
      <c r="D684" s="8" t="s">
        <v>3848</v>
      </c>
      <c r="E684" s="8" t="s">
        <v>3849</v>
      </c>
      <c r="F684" s="8" t="s">
        <v>3850</v>
      </c>
      <c r="G684" s="6" t="s">
        <v>51</v>
      </c>
      <c r="H684" s="6" t="s">
        <v>84</v>
      </c>
      <c r="I684" s="8" t="s">
        <v>1525</v>
      </c>
      <c r="J684" s="9">
        <v>1</v>
      </c>
      <c r="K684" s="9">
        <v>183</v>
      </c>
      <c r="L684" s="9">
        <v>2024</v>
      </c>
      <c r="M684" s="8" t="s">
        <v>3851</v>
      </c>
      <c r="N684" s="8" t="s">
        <v>40</v>
      </c>
      <c r="O684" s="8" t="s">
        <v>41</v>
      </c>
      <c r="P684" s="6" t="s">
        <v>42</v>
      </c>
      <c r="Q684" s="8" t="s">
        <v>43</v>
      </c>
      <c r="R684" s="10" t="s">
        <v>304</v>
      </c>
      <c r="S684" s="11"/>
      <c r="T684" s="6"/>
      <c r="U684" s="28" t="str">
        <f>HYPERLINK("https://media.infra-m.ru/2053/2053982/cover/2053982.jpg", "Обложка")</f>
        <v>Обложка</v>
      </c>
      <c r="V684" s="28" t="str">
        <f>HYPERLINK("https://znanium.com/catalog/product/2053982", "Ознакомиться")</f>
        <v>Ознакомиться</v>
      </c>
      <c r="W684" s="8" t="s">
        <v>1362</v>
      </c>
      <c r="X684" s="6"/>
      <c r="Y684" s="6"/>
      <c r="Z684" s="6"/>
      <c r="AA684" s="6" t="s">
        <v>1273</v>
      </c>
    </row>
    <row r="685" spans="1:27" s="4" customFormat="1" ht="51.95" customHeight="1">
      <c r="A685" s="5">
        <v>0</v>
      </c>
      <c r="B685" s="6" t="s">
        <v>3852</v>
      </c>
      <c r="C685" s="7">
        <v>644.9</v>
      </c>
      <c r="D685" s="8" t="s">
        <v>3853</v>
      </c>
      <c r="E685" s="8" t="s">
        <v>3854</v>
      </c>
      <c r="F685" s="8" t="s">
        <v>799</v>
      </c>
      <c r="G685" s="6" t="s">
        <v>51</v>
      </c>
      <c r="H685" s="6" t="s">
        <v>84</v>
      </c>
      <c r="I685" s="8" t="s">
        <v>801</v>
      </c>
      <c r="J685" s="9">
        <v>1</v>
      </c>
      <c r="K685" s="9">
        <v>142</v>
      </c>
      <c r="L685" s="9">
        <v>2023</v>
      </c>
      <c r="M685" s="8" t="s">
        <v>3855</v>
      </c>
      <c r="N685" s="8" t="s">
        <v>40</v>
      </c>
      <c r="O685" s="8" t="s">
        <v>41</v>
      </c>
      <c r="P685" s="6" t="s">
        <v>803</v>
      </c>
      <c r="Q685" s="8" t="s">
        <v>43</v>
      </c>
      <c r="R685" s="10" t="s">
        <v>1612</v>
      </c>
      <c r="S685" s="11"/>
      <c r="T685" s="6"/>
      <c r="U685" s="28" t="str">
        <f>HYPERLINK("https://media.infra-m.ru/2117/2117568/cover/2117568.jpg", "Обложка")</f>
        <v>Обложка</v>
      </c>
      <c r="V685" s="28" t="str">
        <f>HYPERLINK("https://znanium.com/catalog/product/1921393", "Ознакомиться")</f>
        <v>Ознакомиться</v>
      </c>
      <c r="W685" s="8"/>
      <c r="X685" s="6"/>
      <c r="Y685" s="6"/>
      <c r="Z685" s="6"/>
      <c r="AA685" s="6" t="s">
        <v>62</v>
      </c>
    </row>
    <row r="686" spans="1:27" s="4" customFormat="1" ht="44.1" customHeight="1">
      <c r="A686" s="5">
        <v>0</v>
      </c>
      <c r="B686" s="6" t="s">
        <v>3856</v>
      </c>
      <c r="C686" s="7">
        <v>544.9</v>
      </c>
      <c r="D686" s="8" t="s">
        <v>3857</v>
      </c>
      <c r="E686" s="8" t="s">
        <v>3858</v>
      </c>
      <c r="F686" s="8" t="s">
        <v>3503</v>
      </c>
      <c r="G686" s="6" t="s">
        <v>58</v>
      </c>
      <c r="H686" s="6" t="s">
        <v>38</v>
      </c>
      <c r="I686" s="8"/>
      <c r="J686" s="9">
        <v>24</v>
      </c>
      <c r="K686" s="9">
        <v>160</v>
      </c>
      <c r="L686" s="9">
        <v>2019</v>
      </c>
      <c r="M686" s="8" t="s">
        <v>3859</v>
      </c>
      <c r="N686" s="8" t="s">
        <v>40</v>
      </c>
      <c r="O686" s="8" t="s">
        <v>41</v>
      </c>
      <c r="P686" s="6" t="s">
        <v>42</v>
      </c>
      <c r="Q686" s="8" t="s">
        <v>43</v>
      </c>
      <c r="R686" s="10" t="s">
        <v>1510</v>
      </c>
      <c r="S686" s="11"/>
      <c r="T686" s="6"/>
      <c r="U686" s="28" t="str">
        <f>HYPERLINK("https://media.infra-m.ru/0995/0995438/cover/995438.jpg", "Обложка")</f>
        <v>Обложка</v>
      </c>
      <c r="V686" s="28" t="str">
        <f>HYPERLINK("https://znanium.com/catalog/product/995438", "Ознакомиться")</f>
        <v>Ознакомиться</v>
      </c>
      <c r="W686" s="8" t="s">
        <v>78</v>
      </c>
      <c r="X686" s="6"/>
      <c r="Y686" s="6"/>
      <c r="Z686" s="6"/>
      <c r="AA686" s="6" t="s">
        <v>88</v>
      </c>
    </row>
    <row r="687" spans="1:27" s="4" customFormat="1" ht="42" customHeight="1">
      <c r="A687" s="5">
        <v>0</v>
      </c>
      <c r="B687" s="6" t="s">
        <v>3860</v>
      </c>
      <c r="C687" s="7">
        <v>340</v>
      </c>
      <c r="D687" s="8" t="s">
        <v>3861</v>
      </c>
      <c r="E687" s="8" t="s">
        <v>3862</v>
      </c>
      <c r="F687" s="8" t="s">
        <v>799</v>
      </c>
      <c r="G687" s="6" t="s">
        <v>51</v>
      </c>
      <c r="H687" s="6" t="s">
        <v>84</v>
      </c>
      <c r="I687" s="8" t="s">
        <v>801</v>
      </c>
      <c r="J687" s="9">
        <v>1</v>
      </c>
      <c r="K687" s="9">
        <v>115</v>
      </c>
      <c r="L687" s="9">
        <v>2022</v>
      </c>
      <c r="M687" s="8" t="s">
        <v>3863</v>
      </c>
      <c r="N687" s="8" t="s">
        <v>40</v>
      </c>
      <c r="O687" s="8" t="s">
        <v>41</v>
      </c>
      <c r="P687" s="6" t="s">
        <v>3840</v>
      </c>
      <c r="Q687" s="8" t="s">
        <v>43</v>
      </c>
      <c r="R687" s="10" t="s">
        <v>3864</v>
      </c>
      <c r="S687" s="11"/>
      <c r="T687" s="6"/>
      <c r="U687" s="28" t="str">
        <f>HYPERLINK("https://media.infra-m.ru/1898/1898210/cover/1898210.jpg", "Обложка")</f>
        <v>Обложка</v>
      </c>
      <c r="V687" s="28" t="str">
        <f>HYPERLINK("https://znanium.com/catalog/product/1898210", "Ознакомиться")</f>
        <v>Ознакомиться</v>
      </c>
      <c r="W687" s="8"/>
      <c r="X687" s="6"/>
      <c r="Y687" s="6"/>
      <c r="Z687" s="6"/>
      <c r="AA687" s="6" t="s">
        <v>343</v>
      </c>
    </row>
    <row r="688" spans="1:27" s="4" customFormat="1" ht="42" customHeight="1">
      <c r="A688" s="5">
        <v>0</v>
      </c>
      <c r="B688" s="6" t="s">
        <v>3865</v>
      </c>
      <c r="C688" s="7">
        <v>300</v>
      </c>
      <c r="D688" s="8" t="s">
        <v>3866</v>
      </c>
      <c r="E688" s="8" t="s">
        <v>3867</v>
      </c>
      <c r="F688" s="8" t="s">
        <v>799</v>
      </c>
      <c r="G688" s="6" t="s">
        <v>800</v>
      </c>
      <c r="H688" s="6" t="s">
        <v>84</v>
      </c>
      <c r="I688" s="8"/>
      <c r="J688" s="9">
        <v>1</v>
      </c>
      <c r="K688" s="9">
        <v>60</v>
      </c>
      <c r="L688" s="9">
        <v>2022</v>
      </c>
      <c r="M688" s="8" t="s">
        <v>3868</v>
      </c>
      <c r="N688" s="8" t="s">
        <v>40</v>
      </c>
      <c r="O688" s="8" t="s">
        <v>41</v>
      </c>
      <c r="P688" s="6" t="s">
        <v>803</v>
      </c>
      <c r="Q688" s="8" t="s">
        <v>43</v>
      </c>
      <c r="R688" s="10" t="s">
        <v>3869</v>
      </c>
      <c r="S688" s="11"/>
      <c r="T688" s="6"/>
      <c r="U688" s="28" t="str">
        <f>HYPERLINK("https://media.infra-m.ru/1850/1850144/cover/1850144.jpg", "Обложка")</f>
        <v>Обложка</v>
      </c>
      <c r="V688" s="12"/>
      <c r="W688" s="8"/>
      <c r="X688" s="6"/>
      <c r="Y688" s="6"/>
      <c r="Z688" s="6"/>
      <c r="AA688" s="6" t="s">
        <v>115</v>
      </c>
    </row>
    <row r="689" spans="1:27" s="4" customFormat="1" ht="42" customHeight="1">
      <c r="A689" s="5">
        <v>0</v>
      </c>
      <c r="B689" s="6" t="s">
        <v>3870</v>
      </c>
      <c r="C689" s="7">
        <v>230</v>
      </c>
      <c r="D689" s="8" t="s">
        <v>3871</v>
      </c>
      <c r="E689" s="8" t="s">
        <v>3872</v>
      </c>
      <c r="F689" s="8" t="s">
        <v>799</v>
      </c>
      <c r="G689" s="6" t="s">
        <v>800</v>
      </c>
      <c r="H689" s="6" t="s">
        <v>84</v>
      </c>
      <c r="I689" s="8"/>
      <c r="J689" s="9">
        <v>1</v>
      </c>
      <c r="K689" s="9">
        <v>40</v>
      </c>
      <c r="L689" s="9">
        <v>2022</v>
      </c>
      <c r="M689" s="8" t="s">
        <v>3873</v>
      </c>
      <c r="N689" s="8" t="s">
        <v>40</v>
      </c>
      <c r="O689" s="8" t="s">
        <v>41</v>
      </c>
      <c r="P689" s="6" t="s">
        <v>803</v>
      </c>
      <c r="Q689" s="8" t="s">
        <v>43</v>
      </c>
      <c r="R689" s="10" t="s">
        <v>3869</v>
      </c>
      <c r="S689" s="11"/>
      <c r="T689" s="6"/>
      <c r="U689" s="28" t="str">
        <f>HYPERLINK("https://media.infra-m.ru/1850/1850145/cover/1850145.jpg", "Обложка")</f>
        <v>Обложка</v>
      </c>
      <c r="V689" s="12"/>
      <c r="W689" s="8"/>
      <c r="X689" s="6"/>
      <c r="Y689" s="6"/>
      <c r="Z689" s="6"/>
      <c r="AA689" s="6" t="s">
        <v>115</v>
      </c>
    </row>
    <row r="690" spans="1:27" s="4" customFormat="1" ht="51.95" customHeight="1">
      <c r="A690" s="5">
        <v>0</v>
      </c>
      <c r="B690" s="6" t="s">
        <v>3874</v>
      </c>
      <c r="C690" s="7">
        <v>130</v>
      </c>
      <c r="D690" s="8" t="s">
        <v>3875</v>
      </c>
      <c r="E690" s="8" t="s">
        <v>3876</v>
      </c>
      <c r="F690" s="8" t="s">
        <v>799</v>
      </c>
      <c r="G690" s="6" t="s">
        <v>800</v>
      </c>
      <c r="H690" s="6" t="s">
        <v>84</v>
      </c>
      <c r="I690" s="8"/>
      <c r="J690" s="9">
        <v>1</v>
      </c>
      <c r="K690" s="9">
        <v>16</v>
      </c>
      <c r="L690" s="9">
        <v>2021</v>
      </c>
      <c r="M690" s="8" t="s">
        <v>3877</v>
      </c>
      <c r="N690" s="8" t="s">
        <v>40</v>
      </c>
      <c r="O690" s="8" t="s">
        <v>41</v>
      </c>
      <c r="P690" s="6" t="s">
        <v>803</v>
      </c>
      <c r="Q690" s="8" t="s">
        <v>43</v>
      </c>
      <c r="R690" s="10" t="s">
        <v>3878</v>
      </c>
      <c r="S690" s="11"/>
      <c r="T690" s="6"/>
      <c r="U690" s="28" t="str">
        <f>HYPERLINK("https://media.infra-m.ru/1245/1245961/cover/1245961.jpg", "Обложка")</f>
        <v>Обложка</v>
      </c>
      <c r="V690" s="28" t="str">
        <f>HYPERLINK("https://znanium.com/catalog/product/1245961", "Ознакомиться")</f>
        <v>Ознакомиться</v>
      </c>
      <c r="W690" s="8"/>
      <c r="X690" s="6"/>
      <c r="Y690" s="6"/>
      <c r="Z690" s="6"/>
      <c r="AA690" s="6" t="s">
        <v>62</v>
      </c>
    </row>
    <row r="691" spans="1:27" s="4" customFormat="1" ht="51.95" customHeight="1">
      <c r="A691" s="5">
        <v>0</v>
      </c>
      <c r="B691" s="6" t="s">
        <v>3879</v>
      </c>
      <c r="C691" s="7">
        <v>250</v>
      </c>
      <c r="D691" s="8" t="s">
        <v>3880</v>
      </c>
      <c r="E691" s="8" t="s">
        <v>3881</v>
      </c>
      <c r="F691" s="8" t="s">
        <v>799</v>
      </c>
      <c r="G691" s="6" t="s">
        <v>51</v>
      </c>
      <c r="H691" s="6" t="s">
        <v>84</v>
      </c>
      <c r="I691" s="8" t="s">
        <v>801</v>
      </c>
      <c r="J691" s="9">
        <v>1</v>
      </c>
      <c r="K691" s="9">
        <v>48</v>
      </c>
      <c r="L691" s="9">
        <v>2021</v>
      </c>
      <c r="M691" s="8" t="s">
        <v>3882</v>
      </c>
      <c r="N691" s="8" t="s">
        <v>40</v>
      </c>
      <c r="O691" s="8" t="s">
        <v>41</v>
      </c>
      <c r="P691" s="6" t="s">
        <v>803</v>
      </c>
      <c r="Q691" s="8" t="s">
        <v>43</v>
      </c>
      <c r="R691" s="10" t="s">
        <v>3883</v>
      </c>
      <c r="S691" s="11"/>
      <c r="T691" s="6"/>
      <c r="U691" s="28" t="str">
        <f>HYPERLINK("https://media.infra-m.ru/1817/1817300/cover/1817300.jpg", "Обложка")</f>
        <v>Обложка</v>
      </c>
      <c r="V691" s="28" t="str">
        <f>HYPERLINK("https://znanium.com/catalog/product/1817300", "Ознакомиться")</f>
        <v>Ознакомиться</v>
      </c>
      <c r="W691" s="8"/>
      <c r="X691" s="6"/>
      <c r="Y691" s="6"/>
      <c r="Z691" s="6"/>
      <c r="AA691" s="6" t="s">
        <v>62</v>
      </c>
    </row>
    <row r="692" spans="1:27" s="4" customFormat="1" ht="51.95" customHeight="1">
      <c r="A692" s="5">
        <v>0</v>
      </c>
      <c r="B692" s="6" t="s">
        <v>3884</v>
      </c>
      <c r="C692" s="7">
        <v>791.9</v>
      </c>
      <c r="D692" s="8" t="s">
        <v>3885</v>
      </c>
      <c r="E692" s="8" t="s">
        <v>3886</v>
      </c>
      <c r="F692" s="8" t="s">
        <v>3887</v>
      </c>
      <c r="G692" s="6" t="s">
        <v>58</v>
      </c>
      <c r="H692" s="6" t="s">
        <v>38</v>
      </c>
      <c r="I692" s="8"/>
      <c r="J692" s="9">
        <v>1</v>
      </c>
      <c r="K692" s="9">
        <v>320</v>
      </c>
      <c r="L692" s="9">
        <v>2018</v>
      </c>
      <c r="M692" s="8" t="s">
        <v>3888</v>
      </c>
      <c r="N692" s="8" t="s">
        <v>40</v>
      </c>
      <c r="O692" s="8" t="s">
        <v>41</v>
      </c>
      <c r="P692" s="6" t="s">
        <v>2805</v>
      </c>
      <c r="Q692" s="8" t="s">
        <v>43</v>
      </c>
      <c r="R692" s="10" t="s">
        <v>3889</v>
      </c>
      <c r="S692" s="11"/>
      <c r="T692" s="6"/>
      <c r="U692" s="28" t="str">
        <f>HYPERLINK("https://media.infra-m.ru/0966/0966502/cover/966502.jpg", "Обложка")</f>
        <v>Обложка</v>
      </c>
      <c r="V692" s="28" t="str">
        <f>HYPERLINK("https://znanium.com/catalog/product/913880", "Ознакомиться")</f>
        <v>Ознакомиться</v>
      </c>
      <c r="W692" s="8" t="s">
        <v>3890</v>
      </c>
      <c r="X692" s="6"/>
      <c r="Y692" s="6"/>
      <c r="Z692" s="6"/>
      <c r="AA692" s="6" t="s">
        <v>298</v>
      </c>
    </row>
    <row r="693" spans="1:27" s="4" customFormat="1" ht="51.95" customHeight="1">
      <c r="A693" s="5">
        <v>0</v>
      </c>
      <c r="B693" s="6" t="s">
        <v>3891</v>
      </c>
      <c r="C693" s="13">
        <v>1564.9</v>
      </c>
      <c r="D693" s="8" t="s">
        <v>3892</v>
      </c>
      <c r="E693" s="8" t="s">
        <v>3893</v>
      </c>
      <c r="F693" s="8" t="s">
        <v>3894</v>
      </c>
      <c r="G693" s="6" t="s">
        <v>37</v>
      </c>
      <c r="H693" s="6" t="s">
        <v>84</v>
      </c>
      <c r="I693" s="8" t="s">
        <v>185</v>
      </c>
      <c r="J693" s="9">
        <v>1</v>
      </c>
      <c r="K693" s="9">
        <v>339</v>
      </c>
      <c r="L693" s="9">
        <v>2023</v>
      </c>
      <c r="M693" s="8" t="s">
        <v>3895</v>
      </c>
      <c r="N693" s="8" t="s">
        <v>40</v>
      </c>
      <c r="O693" s="8" t="s">
        <v>41</v>
      </c>
      <c r="P693" s="6" t="s">
        <v>95</v>
      </c>
      <c r="Q693" s="8" t="s">
        <v>76</v>
      </c>
      <c r="R693" s="10" t="s">
        <v>1900</v>
      </c>
      <c r="S693" s="11" t="s">
        <v>3896</v>
      </c>
      <c r="T693" s="6"/>
      <c r="U693" s="28" t="str">
        <f>HYPERLINK("https://media.infra-m.ru/2115/2115290/cover/2115290.jpg", "Обложка")</f>
        <v>Обложка</v>
      </c>
      <c r="V693" s="28" t="str">
        <f>HYPERLINK("https://znanium.com/catalog/product/2115289", "Ознакомиться")</f>
        <v>Ознакомиться</v>
      </c>
      <c r="W693" s="8" t="s">
        <v>3897</v>
      </c>
      <c r="X693" s="6"/>
      <c r="Y693" s="6"/>
      <c r="Z693" s="6"/>
      <c r="AA693" s="6" t="s">
        <v>343</v>
      </c>
    </row>
    <row r="694" spans="1:27" s="4" customFormat="1" ht="51.95" customHeight="1">
      <c r="A694" s="5">
        <v>0</v>
      </c>
      <c r="B694" s="6" t="s">
        <v>3898</v>
      </c>
      <c r="C694" s="7">
        <v>420</v>
      </c>
      <c r="D694" s="8" t="s">
        <v>3899</v>
      </c>
      <c r="E694" s="8" t="s">
        <v>3900</v>
      </c>
      <c r="F694" s="8" t="s">
        <v>3901</v>
      </c>
      <c r="G694" s="6" t="s">
        <v>51</v>
      </c>
      <c r="H694" s="6" t="s">
        <v>84</v>
      </c>
      <c r="I694" s="8" t="s">
        <v>251</v>
      </c>
      <c r="J694" s="9">
        <v>1</v>
      </c>
      <c r="K694" s="9">
        <v>85</v>
      </c>
      <c r="L694" s="9">
        <v>2023</v>
      </c>
      <c r="M694" s="8" t="s">
        <v>3902</v>
      </c>
      <c r="N694" s="8" t="s">
        <v>40</v>
      </c>
      <c r="O694" s="8" t="s">
        <v>41</v>
      </c>
      <c r="P694" s="6" t="s">
        <v>42</v>
      </c>
      <c r="Q694" s="8" t="s">
        <v>680</v>
      </c>
      <c r="R694" s="10" t="s">
        <v>60</v>
      </c>
      <c r="S694" s="11"/>
      <c r="T694" s="6"/>
      <c r="U694" s="28" t="str">
        <f>HYPERLINK("https://media.infra-m.ru/2040/2040900/cover/2040900.jpg", "Обложка")</f>
        <v>Обложка</v>
      </c>
      <c r="V694" s="28" t="str">
        <f>HYPERLINK("https://znanium.com/catalog/product/2040900", "Ознакомиться")</f>
        <v>Ознакомиться</v>
      </c>
      <c r="W694" s="8" t="s">
        <v>3903</v>
      </c>
      <c r="X694" s="6"/>
      <c r="Y694" s="6"/>
      <c r="Z694" s="6"/>
      <c r="AA694" s="6" t="s">
        <v>148</v>
      </c>
    </row>
    <row r="695" spans="1:27" s="4" customFormat="1" ht="51.95" customHeight="1">
      <c r="A695" s="5">
        <v>0</v>
      </c>
      <c r="B695" s="6" t="s">
        <v>3904</v>
      </c>
      <c r="C695" s="13">
        <v>1780</v>
      </c>
      <c r="D695" s="8" t="s">
        <v>3905</v>
      </c>
      <c r="E695" s="8" t="s">
        <v>3906</v>
      </c>
      <c r="F695" s="8" t="s">
        <v>2157</v>
      </c>
      <c r="G695" s="6" t="s">
        <v>37</v>
      </c>
      <c r="H695" s="6" t="s">
        <v>84</v>
      </c>
      <c r="I695" s="8" t="s">
        <v>1140</v>
      </c>
      <c r="J695" s="9">
        <v>1</v>
      </c>
      <c r="K695" s="9">
        <v>395</v>
      </c>
      <c r="L695" s="9">
        <v>2023</v>
      </c>
      <c r="M695" s="8" t="s">
        <v>3907</v>
      </c>
      <c r="N695" s="8" t="s">
        <v>40</v>
      </c>
      <c r="O695" s="8" t="s">
        <v>41</v>
      </c>
      <c r="P695" s="6" t="s">
        <v>95</v>
      </c>
      <c r="Q695" s="8" t="s">
        <v>1199</v>
      </c>
      <c r="R695" s="10" t="s">
        <v>318</v>
      </c>
      <c r="S695" s="11" t="s">
        <v>3908</v>
      </c>
      <c r="T695" s="6" t="s">
        <v>368</v>
      </c>
      <c r="U695" s="28" t="str">
        <f>HYPERLINK("https://media.infra-m.ru/1971/1971870/cover/1971870.jpg", "Обложка")</f>
        <v>Обложка</v>
      </c>
      <c r="V695" s="28" t="str">
        <f>HYPERLINK("https://znanium.com/catalog/product/1971870", "Ознакомиться")</f>
        <v>Ознакомиться</v>
      </c>
      <c r="W695" s="8" t="s">
        <v>195</v>
      </c>
      <c r="X695" s="6"/>
      <c r="Y695" s="6"/>
      <c r="Z695" s="6"/>
      <c r="AA695" s="6" t="s">
        <v>46</v>
      </c>
    </row>
    <row r="696" spans="1:27" s="4" customFormat="1" ht="51.95" customHeight="1">
      <c r="A696" s="5">
        <v>0</v>
      </c>
      <c r="B696" s="6" t="s">
        <v>3909</v>
      </c>
      <c r="C696" s="7">
        <v>720</v>
      </c>
      <c r="D696" s="8" t="s">
        <v>3910</v>
      </c>
      <c r="E696" s="8" t="s">
        <v>3911</v>
      </c>
      <c r="F696" s="8" t="s">
        <v>3912</v>
      </c>
      <c r="G696" s="6" t="s">
        <v>58</v>
      </c>
      <c r="H696" s="6" t="s">
        <v>38</v>
      </c>
      <c r="I696" s="8"/>
      <c r="J696" s="9">
        <v>1</v>
      </c>
      <c r="K696" s="9">
        <v>208</v>
      </c>
      <c r="L696" s="9">
        <v>2019</v>
      </c>
      <c r="M696" s="8" t="s">
        <v>3913</v>
      </c>
      <c r="N696" s="8" t="s">
        <v>40</v>
      </c>
      <c r="O696" s="8" t="s">
        <v>41</v>
      </c>
      <c r="P696" s="6" t="s">
        <v>75</v>
      </c>
      <c r="Q696" s="8" t="s">
        <v>76</v>
      </c>
      <c r="R696" s="10" t="s">
        <v>3914</v>
      </c>
      <c r="S696" s="11"/>
      <c r="T696" s="6"/>
      <c r="U696" s="28" t="str">
        <f>HYPERLINK("https://media.infra-m.ru/0989/0989182/cover/989182.jpg", "Обложка")</f>
        <v>Обложка</v>
      </c>
      <c r="V696" s="28" t="str">
        <f>HYPERLINK("https://znanium.com/catalog/product/989182", "Ознакомиться")</f>
        <v>Ознакомиться</v>
      </c>
      <c r="W696" s="8" t="s">
        <v>114</v>
      </c>
      <c r="X696" s="6"/>
      <c r="Y696" s="6"/>
      <c r="Z696" s="6"/>
      <c r="AA696" s="6" t="s">
        <v>148</v>
      </c>
    </row>
    <row r="697" spans="1:27" s="4" customFormat="1" ht="51.95" customHeight="1">
      <c r="A697" s="5">
        <v>0</v>
      </c>
      <c r="B697" s="6" t="s">
        <v>3915</v>
      </c>
      <c r="C697" s="7">
        <v>824</v>
      </c>
      <c r="D697" s="8" t="s">
        <v>3916</v>
      </c>
      <c r="E697" s="8" t="s">
        <v>3917</v>
      </c>
      <c r="F697" s="8" t="s">
        <v>2010</v>
      </c>
      <c r="G697" s="6" t="s">
        <v>37</v>
      </c>
      <c r="H697" s="6" t="s">
        <v>84</v>
      </c>
      <c r="I697" s="8" t="s">
        <v>185</v>
      </c>
      <c r="J697" s="9">
        <v>1</v>
      </c>
      <c r="K697" s="9">
        <v>180</v>
      </c>
      <c r="L697" s="9">
        <v>2024</v>
      </c>
      <c r="M697" s="8" t="s">
        <v>3918</v>
      </c>
      <c r="N697" s="8" t="s">
        <v>40</v>
      </c>
      <c r="O697" s="8" t="s">
        <v>41</v>
      </c>
      <c r="P697" s="6" t="s">
        <v>95</v>
      </c>
      <c r="Q697" s="8" t="s">
        <v>76</v>
      </c>
      <c r="R697" s="10" t="s">
        <v>3919</v>
      </c>
      <c r="S697" s="11" t="s">
        <v>3920</v>
      </c>
      <c r="T697" s="6"/>
      <c r="U697" s="28" t="str">
        <f>HYPERLINK("https://media.infra-m.ru/2112/2112519/cover/2112519.jpg", "Обложка")</f>
        <v>Обложка</v>
      </c>
      <c r="V697" s="28" t="str">
        <f>HYPERLINK("https://znanium.com/catalog/product/1217333", "Ознакомиться")</f>
        <v>Ознакомиться</v>
      </c>
      <c r="W697" s="8" t="s">
        <v>45</v>
      </c>
      <c r="X697" s="6"/>
      <c r="Y697" s="6"/>
      <c r="Z697" s="6"/>
      <c r="AA697" s="6" t="s">
        <v>148</v>
      </c>
    </row>
    <row r="698" spans="1:27" s="4" customFormat="1" ht="44.1" customHeight="1">
      <c r="A698" s="5">
        <v>0</v>
      </c>
      <c r="B698" s="6" t="s">
        <v>3921</v>
      </c>
      <c r="C698" s="13">
        <v>1789.9</v>
      </c>
      <c r="D698" s="8" t="s">
        <v>3922</v>
      </c>
      <c r="E698" s="8" t="s">
        <v>3923</v>
      </c>
      <c r="F698" s="8" t="s">
        <v>3924</v>
      </c>
      <c r="G698" s="6" t="s">
        <v>58</v>
      </c>
      <c r="H698" s="6" t="s">
        <v>38</v>
      </c>
      <c r="I698" s="8"/>
      <c r="J698" s="9">
        <v>1</v>
      </c>
      <c r="K698" s="9">
        <v>496</v>
      </c>
      <c r="L698" s="9">
        <v>2021</v>
      </c>
      <c r="M698" s="8" t="s">
        <v>3925</v>
      </c>
      <c r="N698" s="8" t="s">
        <v>40</v>
      </c>
      <c r="O698" s="8" t="s">
        <v>41</v>
      </c>
      <c r="P698" s="6" t="s">
        <v>95</v>
      </c>
      <c r="Q698" s="8" t="s">
        <v>76</v>
      </c>
      <c r="R698" s="10" t="s">
        <v>1256</v>
      </c>
      <c r="S698" s="11"/>
      <c r="T698" s="6"/>
      <c r="U698" s="28" t="str">
        <f>HYPERLINK("https://media.infra-m.ru/1215/1215746/cover/1215746.jpg", "Обложка")</f>
        <v>Обложка</v>
      </c>
      <c r="V698" s="28" t="str">
        <f>HYPERLINK("https://znanium.com/catalog/product/1215746", "Ознакомиться")</f>
        <v>Ознакомиться</v>
      </c>
      <c r="W698" s="8" t="s">
        <v>114</v>
      </c>
      <c r="X698" s="6"/>
      <c r="Y698" s="6"/>
      <c r="Z698" s="6"/>
      <c r="AA698" s="6" t="s">
        <v>62</v>
      </c>
    </row>
    <row r="699" spans="1:27" s="4" customFormat="1" ht="42" customHeight="1">
      <c r="A699" s="5">
        <v>0</v>
      </c>
      <c r="B699" s="6" t="s">
        <v>3926</v>
      </c>
      <c r="C699" s="7">
        <v>690</v>
      </c>
      <c r="D699" s="8" t="s">
        <v>3927</v>
      </c>
      <c r="E699" s="8" t="s">
        <v>3928</v>
      </c>
      <c r="F699" s="8" t="s">
        <v>1559</v>
      </c>
      <c r="G699" s="6" t="s">
        <v>37</v>
      </c>
      <c r="H699" s="6" t="s">
        <v>38</v>
      </c>
      <c r="I699" s="8"/>
      <c r="J699" s="9">
        <v>1</v>
      </c>
      <c r="K699" s="9">
        <v>136</v>
      </c>
      <c r="L699" s="9">
        <v>2023</v>
      </c>
      <c r="M699" s="8" t="s">
        <v>3929</v>
      </c>
      <c r="N699" s="8" t="s">
        <v>40</v>
      </c>
      <c r="O699" s="8" t="s">
        <v>41</v>
      </c>
      <c r="P699" s="6" t="s">
        <v>42</v>
      </c>
      <c r="Q699" s="8" t="s">
        <v>43</v>
      </c>
      <c r="R699" s="10" t="s">
        <v>3477</v>
      </c>
      <c r="S699" s="11"/>
      <c r="T699" s="6"/>
      <c r="U699" s="28" t="str">
        <f>HYPERLINK("https://media.infra-m.ru/1895/1895637/cover/1895637.jpg", "Обложка")</f>
        <v>Обложка</v>
      </c>
      <c r="V699" s="28" t="str">
        <f>HYPERLINK("https://znanium.com/catalog/product/1895637", "Ознакомиться")</f>
        <v>Ознакомиться</v>
      </c>
      <c r="W699" s="8" t="s">
        <v>1561</v>
      </c>
      <c r="X699" s="6"/>
      <c r="Y699" s="6"/>
      <c r="Z699" s="6"/>
      <c r="AA699" s="6" t="s">
        <v>79</v>
      </c>
    </row>
    <row r="700" spans="1:27" s="4" customFormat="1" ht="51.95" customHeight="1">
      <c r="A700" s="5">
        <v>0</v>
      </c>
      <c r="B700" s="6" t="s">
        <v>3930</v>
      </c>
      <c r="C700" s="13">
        <v>1400</v>
      </c>
      <c r="D700" s="8" t="s">
        <v>3931</v>
      </c>
      <c r="E700" s="8" t="s">
        <v>3932</v>
      </c>
      <c r="F700" s="8" t="s">
        <v>876</v>
      </c>
      <c r="G700" s="6" t="s">
        <v>51</v>
      </c>
      <c r="H700" s="6" t="s">
        <v>84</v>
      </c>
      <c r="I700" s="8" t="s">
        <v>251</v>
      </c>
      <c r="J700" s="9">
        <v>1</v>
      </c>
      <c r="K700" s="9">
        <v>367</v>
      </c>
      <c r="L700" s="9">
        <v>2021</v>
      </c>
      <c r="M700" s="8" t="s">
        <v>3933</v>
      </c>
      <c r="N700" s="8" t="s">
        <v>40</v>
      </c>
      <c r="O700" s="8" t="s">
        <v>41</v>
      </c>
      <c r="P700" s="6" t="s">
        <v>42</v>
      </c>
      <c r="Q700" s="8" t="s">
        <v>43</v>
      </c>
      <c r="R700" s="10" t="s">
        <v>3934</v>
      </c>
      <c r="S700" s="11"/>
      <c r="T700" s="6"/>
      <c r="U700" s="28" t="str">
        <f>HYPERLINK("https://media.infra-m.ru/1371/1371623/cover/1371623.jpg", "Обложка")</f>
        <v>Обложка</v>
      </c>
      <c r="V700" s="28" t="str">
        <f>HYPERLINK("https://znanium.com/catalog/product/1371623", "Ознакомиться")</f>
        <v>Ознакомиться</v>
      </c>
      <c r="W700" s="8" t="s">
        <v>503</v>
      </c>
      <c r="X700" s="6"/>
      <c r="Y700" s="6"/>
      <c r="Z700" s="6"/>
      <c r="AA700" s="6" t="s">
        <v>62</v>
      </c>
    </row>
    <row r="701" spans="1:27" s="4" customFormat="1" ht="51.95" customHeight="1">
      <c r="A701" s="5">
        <v>0</v>
      </c>
      <c r="B701" s="6" t="s">
        <v>3935</v>
      </c>
      <c r="C701" s="13">
        <v>2580</v>
      </c>
      <c r="D701" s="8" t="s">
        <v>3936</v>
      </c>
      <c r="E701" s="8" t="s">
        <v>3937</v>
      </c>
      <c r="F701" s="8" t="s">
        <v>2125</v>
      </c>
      <c r="G701" s="6" t="s">
        <v>58</v>
      </c>
      <c r="H701" s="6" t="s">
        <v>38</v>
      </c>
      <c r="I701" s="8"/>
      <c r="J701" s="9">
        <v>1</v>
      </c>
      <c r="K701" s="9">
        <v>560</v>
      </c>
      <c r="L701" s="9">
        <v>2024</v>
      </c>
      <c r="M701" s="8" t="s">
        <v>3938</v>
      </c>
      <c r="N701" s="8" t="s">
        <v>40</v>
      </c>
      <c r="O701" s="8" t="s">
        <v>41</v>
      </c>
      <c r="P701" s="6" t="s">
        <v>95</v>
      </c>
      <c r="Q701" s="8" t="s">
        <v>76</v>
      </c>
      <c r="R701" s="10" t="s">
        <v>3939</v>
      </c>
      <c r="S701" s="11" t="s">
        <v>847</v>
      </c>
      <c r="T701" s="6"/>
      <c r="U701" s="28" t="str">
        <f>HYPERLINK("https://media.infra-m.ru/2107/2107386/cover/2107386.jpg", "Обложка")</f>
        <v>Обложка</v>
      </c>
      <c r="V701" s="28" t="str">
        <f>HYPERLINK("https://znanium.com/catalog/product/1938086", "Ознакомиться")</f>
        <v>Ознакомиться</v>
      </c>
      <c r="W701" s="8" t="s">
        <v>78</v>
      </c>
      <c r="X701" s="6"/>
      <c r="Y701" s="6"/>
      <c r="Z701" s="6"/>
      <c r="AA701" s="6" t="s">
        <v>3940</v>
      </c>
    </row>
    <row r="702" spans="1:27" s="4" customFormat="1" ht="42" customHeight="1">
      <c r="A702" s="5">
        <v>0</v>
      </c>
      <c r="B702" s="6" t="s">
        <v>3941</v>
      </c>
      <c r="C702" s="13">
        <v>2024.9</v>
      </c>
      <c r="D702" s="8" t="s">
        <v>3942</v>
      </c>
      <c r="E702" s="8" t="s">
        <v>3943</v>
      </c>
      <c r="F702" s="8" t="s">
        <v>3944</v>
      </c>
      <c r="G702" s="6" t="s">
        <v>58</v>
      </c>
      <c r="H702" s="6" t="s">
        <v>38</v>
      </c>
      <c r="I702" s="8"/>
      <c r="J702" s="9">
        <v>1</v>
      </c>
      <c r="K702" s="9">
        <v>448</v>
      </c>
      <c r="L702" s="9">
        <v>2023</v>
      </c>
      <c r="M702" s="8" t="s">
        <v>3945</v>
      </c>
      <c r="N702" s="8" t="s">
        <v>40</v>
      </c>
      <c r="O702" s="8" t="s">
        <v>41</v>
      </c>
      <c r="P702" s="6" t="s">
        <v>42</v>
      </c>
      <c r="Q702" s="8" t="s">
        <v>43</v>
      </c>
      <c r="R702" s="10" t="s">
        <v>310</v>
      </c>
      <c r="S702" s="11"/>
      <c r="T702" s="6"/>
      <c r="U702" s="28" t="str">
        <f>HYPERLINK("https://media.infra-m.ru/1877/1877452/cover/1877452.jpg", "Обложка")</f>
        <v>Обложка</v>
      </c>
      <c r="V702" s="28" t="str">
        <f>HYPERLINK("https://znanium.com/catalog/product/978499", "Ознакомиться")</f>
        <v>Ознакомиться</v>
      </c>
      <c r="W702" s="8" t="s">
        <v>712</v>
      </c>
      <c r="X702" s="6"/>
      <c r="Y702" s="6"/>
      <c r="Z702" s="6"/>
      <c r="AA702" s="6" t="s">
        <v>706</v>
      </c>
    </row>
    <row r="703" spans="1:27" s="4" customFormat="1" ht="42" customHeight="1">
      <c r="A703" s="5">
        <v>0</v>
      </c>
      <c r="B703" s="6" t="s">
        <v>3946</v>
      </c>
      <c r="C703" s="13">
        <v>1994</v>
      </c>
      <c r="D703" s="8" t="s">
        <v>3947</v>
      </c>
      <c r="E703" s="8" t="s">
        <v>3948</v>
      </c>
      <c r="F703" s="8" t="s">
        <v>3944</v>
      </c>
      <c r="G703" s="6" t="s">
        <v>37</v>
      </c>
      <c r="H703" s="6" t="s">
        <v>38</v>
      </c>
      <c r="I703" s="8"/>
      <c r="J703" s="9">
        <v>1</v>
      </c>
      <c r="K703" s="9">
        <v>432</v>
      </c>
      <c r="L703" s="9">
        <v>2024</v>
      </c>
      <c r="M703" s="8" t="s">
        <v>3949</v>
      </c>
      <c r="N703" s="8" t="s">
        <v>40</v>
      </c>
      <c r="O703" s="8" t="s">
        <v>41</v>
      </c>
      <c r="P703" s="6" t="s">
        <v>42</v>
      </c>
      <c r="Q703" s="8" t="s">
        <v>43</v>
      </c>
      <c r="R703" s="10" t="s">
        <v>304</v>
      </c>
      <c r="S703" s="11"/>
      <c r="T703" s="6"/>
      <c r="U703" s="28" t="str">
        <f>HYPERLINK("https://media.infra-m.ru/2073/2073499/cover/2073499.jpg", "Обложка")</f>
        <v>Обложка</v>
      </c>
      <c r="V703" s="28" t="str">
        <f>HYPERLINK("https://znanium.com/catalog/product/1850695", "Ознакомиться")</f>
        <v>Ознакомиться</v>
      </c>
      <c r="W703" s="8" t="s">
        <v>712</v>
      </c>
      <c r="X703" s="6"/>
      <c r="Y703" s="6"/>
      <c r="Z703" s="6"/>
      <c r="AA703" s="6" t="s">
        <v>2982</v>
      </c>
    </row>
    <row r="704" spans="1:27" s="4" customFormat="1" ht="42" customHeight="1">
      <c r="A704" s="5">
        <v>0</v>
      </c>
      <c r="B704" s="6" t="s">
        <v>3950</v>
      </c>
      <c r="C704" s="13">
        <v>1564.9</v>
      </c>
      <c r="D704" s="8" t="s">
        <v>3951</v>
      </c>
      <c r="E704" s="8" t="s">
        <v>3952</v>
      </c>
      <c r="F704" s="8" t="s">
        <v>3953</v>
      </c>
      <c r="G704" s="6" t="s">
        <v>58</v>
      </c>
      <c r="H704" s="6" t="s">
        <v>84</v>
      </c>
      <c r="I704" s="8" t="s">
        <v>85</v>
      </c>
      <c r="J704" s="9">
        <v>1</v>
      </c>
      <c r="K704" s="9">
        <v>348</v>
      </c>
      <c r="L704" s="9">
        <v>2023</v>
      </c>
      <c r="M704" s="8" t="s">
        <v>3954</v>
      </c>
      <c r="N704" s="8" t="s">
        <v>40</v>
      </c>
      <c r="O704" s="8" t="s">
        <v>41</v>
      </c>
      <c r="P704" s="6" t="s">
        <v>42</v>
      </c>
      <c r="Q704" s="8" t="s">
        <v>43</v>
      </c>
      <c r="R704" s="10" t="s">
        <v>3477</v>
      </c>
      <c r="S704" s="11"/>
      <c r="T704" s="6"/>
      <c r="U704" s="28" t="str">
        <f>HYPERLINK("https://media.infra-m.ru/1976/1976148/cover/1976148.jpg", "Обложка")</f>
        <v>Обложка</v>
      </c>
      <c r="V704" s="28" t="str">
        <f>HYPERLINK("https://znanium.com/catalog/product/1018179", "Ознакомиться")</f>
        <v>Ознакомиться</v>
      </c>
      <c r="W704" s="8" t="s">
        <v>45</v>
      </c>
      <c r="X704" s="6"/>
      <c r="Y704" s="6"/>
      <c r="Z704" s="6"/>
      <c r="AA704" s="6" t="s">
        <v>79</v>
      </c>
    </row>
    <row r="705" spans="1:27" s="4" customFormat="1" ht="42" customHeight="1">
      <c r="A705" s="5">
        <v>0</v>
      </c>
      <c r="B705" s="6" t="s">
        <v>3955</v>
      </c>
      <c r="C705" s="7">
        <v>880</v>
      </c>
      <c r="D705" s="8" t="s">
        <v>3956</v>
      </c>
      <c r="E705" s="8" t="s">
        <v>3957</v>
      </c>
      <c r="F705" s="8" t="s">
        <v>1684</v>
      </c>
      <c r="G705" s="6" t="s">
        <v>51</v>
      </c>
      <c r="H705" s="6" t="s">
        <v>84</v>
      </c>
      <c r="I705" s="8" t="s">
        <v>251</v>
      </c>
      <c r="J705" s="9">
        <v>1</v>
      </c>
      <c r="K705" s="9">
        <v>189</v>
      </c>
      <c r="L705" s="9">
        <v>2024</v>
      </c>
      <c r="M705" s="8" t="s">
        <v>3958</v>
      </c>
      <c r="N705" s="8" t="s">
        <v>40</v>
      </c>
      <c r="O705" s="8" t="s">
        <v>41</v>
      </c>
      <c r="P705" s="6" t="s">
        <v>42</v>
      </c>
      <c r="Q705" s="8" t="s">
        <v>43</v>
      </c>
      <c r="R705" s="10" t="s">
        <v>1339</v>
      </c>
      <c r="S705" s="11"/>
      <c r="T705" s="6"/>
      <c r="U705" s="28" t="str">
        <f>HYPERLINK("https://media.infra-m.ru/2086/2086803/cover/2086803.jpg", "Обложка")</f>
        <v>Обложка</v>
      </c>
      <c r="V705" s="28" t="str">
        <f>HYPERLINK("https://znanium.com/catalog/product/2086803", "Ознакомиться")</f>
        <v>Ознакомиться</v>
      </c>
      <c r="W705" s="8" t="s">
        <v>1686</v>
      </c>
      <c r="X705" s="6"/>
      <c r="Y705" s="6"/>
      <c r="Z705" s="6"/>
      <c r="AA705" s="6" t="s">
        <v>62</v>
      </c>
    </row>
    <row r="706" spans="1:27" s="4" customFormat="1" ht="51.95" customHeight="1">
      <c r="A706" s="5">
        <v>0</v>
      </c>
      <c r="B706" s="6" t="s">
        <v>3959</v>
      </c>
      <c r="C706" s="13">
        <v>1120</v>
      </c>
      <c r="D706" s="8" t="s">
        <v>3960</v>
      </c>
      <c r="E706" s="8" t="s">
        <v>3961</v>
      </c>
      <c r="F706" s="8" t="s">
        <v>799</v>
      </c>
      <c r="G706" s="6" t="s">
        <v>37</v>
      </c>
      <c r="H706" s="6" t="s">
        <v>84</v>
      </c>
      <c r="I706" s="8"/>
      <c r="J706" s="9">
        <v>1</v>
      </c>
      <c r="K706" s="9">
        <v>249</v>
      </c>
      <c r="L706" s="9">
        <v>2023</v>
      </c>
      <c r="M706" s="8" t="s">
        <v>3962</v>
      </c>
      <c r="N706" s="8" t="s">
        <v>40</v>
      </c>
      <c r="O706" s="8" t="s">
        <v>41</v>
      </c>
      <c r="P706" s="6" t="s">
        <v>3963</v>
      </c>
      <c r="Q706" s="8" t="s">
        <v>296</v>
      </c>
      <c r="R706" s="10" t="s">
        <v>3964</v>
      </c>
      <c r="S706" s="11"/>
      <c r="T706" s="6"/>
      <c r="U706" s="28" t="str">
        <f>HYPERLINK("https://media.infra-m.ru/2031/2031715/cover/2031715.jpg", "Обложка")</f>
        <v>Обложка</v>
      </c>
      <c r="V706" s="28" t="str">
        <f>HYPERLINK("https://znanium.com/catalog/product/2031715", "Ознакомиться")</f>
        <v>Ознакомиться</v>
      </c>
      <c r="W706" s="8"/>
      <c r="X706" s="6"/>
      <c r="Y706" s="6"/>
      <c r="Z706" s="6"/>
      <c r="AA706" s="6" t="s">
        <v>2150</v>
      </c>
    </row>
    <row r="707" spans="1:27" s="4" customFormat="1" ht="42" customHeight="1">
      <c r="A707" s="5">
        <v>0</v>
      </c>
      <c r="B707" s="6" t="s">
        <v>3965</v>
      </c>
      <c r="C707" s="13">
        <v>2050</v>
      </c>
      <c r="D707" s="8" t="s">
        <v>3966</v>
      </c>
      <c r="E707" s="8" t="s">
        <v>3967</v>
      </c>
      <c r="F707" s="8" t="s">
        <v>3968</v>
      </c>
      <c r="G707" s="6" t="s">
        <v>1726</v>
      </c>
      <c r="H707" s="6" t="s">
        <v>38</v>
      </c>
      <c r="I707" s="8"/>
      <c r="J707" s="9">
        <v>1</v>
      </c>
      <c r="K707" s="9">
        <v>520</v>
      </c>
      <c r="L707" s="9">
        <v>2022</v>
      </c>
      <c r="M707" s="8"/>
      <c r="N707" s="8" t="s">
        <v>40</v>
      </c>
      <c r="O707" s="8" t="s">
        <v>41</v>
      </c>
      <c r="P707" s="6" t="s">
        <v>3969</v>
      </c>
      <c r="Q707" s="8" t="s">
        <v>76</v>
      </c>
      <c r="R707" s="10"/>
      <c r="S707" s="11"/>
      <c r="T707" s="6"/>
      <c r="U707" s="28" t="str">
        <f>HYPERLINK("https://media.infra-m.ru/1905/1905565/cover/1905565.jpg", "Обложка")</f>
        <v>Обложка</v>
      </c>
      <c r="V707" s="12"/>
      <c r="W707" s="8" t="s">
        <v>78</v>
      </c>
      <c r="X707" s="6"/>
      <c r="Y707" s="6"/>
      <c r="Z707" s="6"/>
      <c r="AA707" s="6" t="s">
        <v>79</v>
      </c>
    </row>
    <row r="708" spans="1:27" s="4" customFormat="1" ht="42" customHeight="1">
      <c r="A708" s="5">
        <v>0</v>
      </c>
      <c r="B708" s="6" t="s">
        <v>3970</v>
      </c>
      <c r="C708" s="13">
        <v>1450</v>
      </c>
      <c r="D708" s="8" t="s">
        <v>3971</v>
      </c>
      <c r="E708" s="8" t="s">
        <v>3972</v>
      </c>
      <c r="F708" s="8" t="s">
        <v>3973</v>
      </c>
      <c r="G708" s="6" t="s">
        <v>58</v>
      </c>
      <c r="H708" s="6" t="s">
        <v>84</v>
      </c>
      <c r="I708" s="8" t="s">
        <v>251</v>
      </c>
      <c r="J708" s="9">
        <v>1</v>
      </c>
      <c r="K708" s="9">
        <v>302</v>
      </c>
      <c r="L708" s="9">
        <v>2024</v>
      </c>
      <c r="M708" s="8" t="s">
        <v>3974</v>
      </c>
      <c r="N708" s="8" t="s">
        <v>40</v>
      </c>
      <c r="O708" s="8" t="s">
        <v>41</v>
      </c>
      <c r="P708" s="6" t="s">
        <v>42</v>
      </c>
      <c r="Q708" s="8" t="s">
        <v>43</v>
      </c>
      <c r="R708" s="10" t="s">
        <v>3975</v>
      </c>
      <c r="S708" s="11"/>
      <c r="T708" s="6"/>
      <c r="U708" s="28" t="str">
        <f>HYPERLINK("https://media.infra-m.ru/2001/2001726/cover/2001726.jpg", "Обложка")</f>
        <v>Обложка</v>
      </c>
      <c r="V708" s="28" t="str">
        <f>HYPERLINK("https://znanium.com/catalog/product/2001726", "Ознакомиться")</f>
        <v>Ознакомиться</v>
      </c>
      <c r="W708" s="8" t="s">
        <v>78</v>
      </c>
      <c r="X708" s="6" t="s">
        <v>1446</v>
      </c>
      <c r="Y708" s="6"/>
      <c r="Z708" s="6"/>
      <c r="AA708" s="6" t="s">
        <v>100</v>
      </c>
    </row>
    <row r="709" spans="1:27" s="4" customFormat="1" ht="42" customHeight="1">
      <c r="A709" s="5">
        <v>0</v>
      </c>
      <c r="B709" s="6" t="s">
        <v>3976</v>
      </c>
      <c r="C709" s="13">
        <v>1410</v>
      </c>
      <c r="D709" s="8" t="s">
        <v>3977</v>
      </c>
      <c r="E709" s="8" t="s">
        <v>3978</v>
      </c>
      <c r="F709" s="8" t="s">
        <v>731</v>
      </c>
      <c r="G709" s="6" t="s">
        <v>58</v>
      </c>
      <c r="H709" s="6" t="s">
        <v>84</v>
      </c>
      <c r="I709" s="8" t="s">
        <v>316</v>
      </c>
      <c r="J709" s="9">
        <v>1</v>
      </c>
      <c r="K709" s="9">
        <v>300</v>
      </c>
      <c r="L709" s="9">
        <v>2024</v>
      </c>
      <c r="M709" s="8" t="s">
        <v>3979</v>
      </c>
      <c r="N709" s="8" t="s">
        <v>40</v>
      </c>
      <c r="O709" s="8" t="s">
        <v>41</v>
      </c>
      <c r="P709" s="6" t="s">
        <v>75</v>
      </c>
      <c r="Q709" s="8" t="s">
        <v>157</v>
      </c>
      <c r="R709" s="10" t="s">
        <v>340</v>
      </c>
      <c r="S709" s="11"/>
      <c r="T709" s="6"/>
      <c r="U709" s="28" t="str">
        <f>HYPERLINK("https://media.infra-m.ru/1930/1930657/cover/1930657.jpg", "Обложка")</f>
        <v>Обложка</v>
      </c>
      <c r="V709" s="28" t="str">
        <f>HYPERLINK("https://znanium.com/catalog/product/1930657", "Ознакомиться")</f>
        <v>Ознакомиться</v>
      </c>
      <c r="W709" s="8" t="s">
        <v>733</v>
      </c>
      <c r="X709" s="6" t="s">
        <v>99</v>
      </c>
      <c r="Y709" s="6"/>
      <c r="Z709" s="6"/>
      <c r="AA709" s="6" t="s">
        <v>100</v>
      </c>
    </row>
    <row r="710" spans="1:27" s="4" customFormat="1" ht="42" customHeight="1">
      <c r="A710" s="5">
        <v>0</v>
      </c>
      <c r="B710" s="6" t="s">
        <v>3980</v>
      </c>
      <c r="C710" s="13">
        <v>1474</v>
      </c>
      <c r="D710" s="8" t="s">
        <v>3981</v>
      </c>
      <c r="E710" s="8" t="s">
        <v>3982</v>
      </c>
      <c r="F710" s="8" t="s">
        <v>3983</v>
      </c>
      <c r="G710" s="6" t="s">
        <v>58</v>
      </c>
      <c r="H710" s="6" t="s">
        <v>38</v>
      </c>
      <c r="I710" s="8"/>
      <c r="J710" s="9">
        <v>1</v>
      </c>
      <c r="K710" s="9">
        <v>320</v>
      </c>
      <c r="L710" s="9">
        <v>2023</v>
      </c>
      <c r="M710" s="8" t="s">
        <v>3984</v>
      </c>
      <c r="N710" s="8" t="s">
        <v>40</v>
      </c>
      <c r="O710" s="8" t="s">
        <v>41</v>
      </c>
      <c r="P710" s="6" t="s">
        <v>42</v>
      </c>
      <c r="Q710" s="8" t="s">
        <v>43</v>
      </c>
      <c r="R710" s="10" t="s">
        <v>304</v>
      </c>
      <c r="S710" s="11"/>
      <c r="T710" s="6"/>
      <c r="U710" s="28" t="str">
        <f>HYPERLINK("https://media.infra-m.ru/2045/2045940/cover/2045940.jpg", "Обложка")</f>
        <v>Обложка</v>
      </c>
      <c r="V710" s="28" t="str">
        <f>HYPERLINK("https://znanium.com/catalog/product/1240961", "Ознакомиться")</f>
        <v>Ознакомиться</v>
      </c>
      <c r="W710" s="8" t="s">
        <v>61</v>
      </c>
      <c r="X710" s="6"/>
      <c r="Y710" s="6"/>
      <c r="Z710" s="6"/>
      <c r="AA710" s="6" t="s">
        <v>289</v>
      </c>
    </row>
    <row r="711" spans="1:27" s="4" customFormat="1" ht="51.95" customHeight="1">
      <c r="A711" s="5">
        <v>0</v>
      </c>
      <c r="B711" s="6" t="s">
        <v>3985</v>
      </c>
      <c r="C711" s="7">
        <v>740</v>
      </c>
      <c r="D711" s="8" t="s">
        <v>3986</v>
      </c>
      <c r="E711" s="8" t="s">
        <v>3987</v>
      </c>
      <c r="F711" s="8" t="s">
        <v>3988</v>
      </c>
      <c r="G711" s="6" t="s">
        <v>37</v>
      </c>
      <c r="H711" s="6" t="s">
        <v>38</v>
      </c>
      <c r="I711" s="8"/>
      <c r="J711" s="9">
        <v>1</v>
      </c>
      <c r="K711" s="9">
        <v>176</v>
      </c>
      <c r="L711" s="9">
        <v>2023</v>
      </c>
      <c r="M711" s="8" t="s">
        <v>3989</v>
      </c>
      <c r="N711" s="8" t="s">
        <v>40</v>
      </c>
      <c r="O711" s="8" t="s">
        <v>41</v>
      </c>
      <c r="P711" s="6" t="s">
        <v>42</v>
      </c>
      <c r="Q711" s="8" t="s">
        <v>43</v>
      </c>
      <c r="R711" s="10" t="s">
        <v>3301</v>
      </c>
      <c r="S711" s="11"/>
      <c r="T711" s="6"/>
      <c r="U711" s="28" t="str">
        <f>HYPERLINK("https://media.infra-m.ru/1867/1867950/cover/1867950.jpg", "Обложка")</f>
        <v>Обложка</v>
      </c>
      <c r="V711" s="28" t="str">
        <f>HYPERLINK("https://znanium.com/catalog/product/1837928", "Ознакомиться")</f>
        <v>Ознакомиться</v>
      </c>
      <c r="W711" s="8" t="s">
        <v>78</v>
      </c>
      <c r="X711" s="6"/>
      <c r="Y711" s="6"/>
      <c r="Z711" s="6"/>
      <c r="AA711" s="6" t="s">
        <v>298</v>
      </c>
    </row>
    <row r="712" spans="1:27" s="4" customFormat="1" ht="42" customHeight="1">
      <c r="A712" s="5">
        <v>0</v>
      </c>
      <c r="B712" s="6" t="s">
        <v>3990</v>
      </c>
      <c r="C712" s="13">
        <v>1804</v>
      </c>
      <c r="D712" s="8" t="s">
        <v>3991</v>
      </c>
      <c r="E712" s="8" t="s">
        <v>3992</v>
      </c>
      <c r="F712" s="8" t="s">
        <v>3993</v>
      </c>
      <c r="G712" s="6" t="s">
        <v>58</v>
      </c>
      <c r="H712" s="6" t="s">
        <v>38</v>
      </c>
      <c r="I712" s="8"/>
      <c r="J712" s="9">
        <v>1</v>
      </c>
      <c r="K712" s="9">
        <v>400</v>
      </c>
      <c r="L712" s="9">
        <v>2024</v>
      </c>
      <c r="M712" s="8" t="s">
        <v>3994</v>
      </c>
      <c r="N712" s="8" t="s">
        <v>40</v>
      </c>
      <c r="O712" s="8" t="s">
        <v>41</v>
      </c>
      <c r="P712" s="6" t="s">
        <v>42</v>
      </c>
      <c r="Q712" s="8" t="s">
        <v>43</v>
      </c>
      <c r="R712" s="10" t="s">
        <v>113</v>
      </c>
      <c r="S712" s="11"/>
      <c r="T712" s="6"/>
      <c r="U712" s="28" t="str">
        <f>HYPERLINK("https://media.infra-m.ru/1895/1895668/cover/1895668.jpg", "Обложка")</f>
        <v>Обложка</v>
      </c>
      <c r="V712" s="28" t="str">
        <f>HYPERLINK("https://znanium.com/catalog/product/1324017", "Ознакомиться")</f>
        <v>Ознакомиться</v>
      </c>
      <c r="W712" s="8" t="s">
        <v>3783</v>
      </c>
      <c r="X712" s="6"/>
      <c r="Y712" s="6"/>
      <c r="Z712" s="6"/>
      <c r="AA712" s="6" t="s">
        <v>298</v>
      </c>
    </row>
    <row r="713" spans="1:27" s="4" customFormat="1" ht="51.95" customHeight="1">
      <c r="A713" s="5">
        <v>0</v>
      </c>
      <c r="B713" s="6" t="s">
        <v>3995</v>
      </c>
      <c r="C713" s="13">
        <v>2045</v>
      </c>
      <c r="D713" s="8" t="s">
        <v>3996</v>
      </c>
      <c r="E713" s="8" t="s">
        <v>3997</v>
      </c>
      <c r="F713" s="8" t="s">
        <v>3073</v>
      </c>
      <c r="G713" s="6" t="s">
        <v>58</v>
      </c>
      <c r="H713" s="6" t="s">
        <v>84</v>
      </c>
      <c r="I713" s="8"/>
      <c r="J713" s="9">
        <v>1</v>
      </c>
      <c r="K713" s="9">
        <v>630</v>
      </c>
      <c r="L713" s="9">
        <v>2024</v>
      </c>
      <c r="M713" s="8" t="s">
        <v>3998</v>
      </c>
      <c r="N713" s="8" t="s">
        <v>40</v>
      </c>
      <c r="O713" s="8" t="s">
        <v>41</v>
      </c>
      <c r="P713" s="6" t="s">
        <v>295</v>
      </c>
      <c r="Q713" s="8" t="s">
        <v>43</v>
      </c>
      <c r="R713" s="10" t="s">
        <v>1071</v>
      </c>
      <c r="S713" s="11"/>
      <c r="T713" s="6"/>
      <c r="U713" s="28" t="str">
        <f>HYPERLINK("https://media.infra-m.ru/2095/2095602/cover/2095602.jpg", "Обложка")</f>
        <v>Обложка</v>
      </c>
      <c r="V713" s="12"/>
      <c r="W713" s="8" t="s">
        <v>1362</v>
      </c>
      <c r="X713" s="6"/>
      <c r="Y713" s="6"/>
      <c r="Z713" s="6"/>
      <c r="AA713" s="6" t="s">
        <v>62</v>
      </c>
    </row>
    <row r="714" spans="1:27" s="4" customFormat="1" ht="51.95" customHeight="1">
      <c r="A714" s="5">
        <v>0</v>
      </c>
      <c r="B714" s="6" t="s">
        <v>3999</v>
      </c>
      <c r="C714" s="13">
        <v>1850</v>
      </c>
      <c r="D714" s="8" t="s">
        <v>4000</v>
      </c>
      <c r="E714" s="8" t="s">
        <v>4001</v>
      </c>
      <c r="F714" s="8" t="s">
        <v>3073</v>
      </c>
      <c r="G714" s="6" t="s">
        <v>37</v>
      </c>
      <c r="H714" s="6" t="s">
        <v>84</v>
      </c>
      <c r="I714" s="8"/>
      <c r="J714" s="9">
        <v>1</v>
      </c>
      <c r="K714" s="9">
        <v>412</v>
      </c>
      <c r="L714" s="9">
        <v>2023</v>
      </c>
      <c r="M714" s="8" t="s">
        <v>4002</v>
      </c>
      <c r="N714" s="8" t="s">
        <v>40</v>
      </c>
      <c r="O714" s="8" t="s">
        <v>41</v>
      </c>
      <c r="P714" s="6" t="s">
        <v>295</v>
      </c>
      <c r="Q714" s="8" t="s">
        <v>43</v>
      </c>
      <c r="R714" s="10" t="s">
        <v>4003</v>
      </c>
      <c r="S714" s="11"/>
      <c r="T714" s="6"/>
      <c r="U714" s="28" t="str">
        <f>HYPERLINK("https://media.infra-m.ru/1915/1915815/cover/1915815.jpg", "Обложка")</f>
        <v>Обложка</v>
      </c>
      <c r="V714" s="12"/>
      <c r="W714" s="8" t="s">
        <v>1362</v>
      </c>
      <c r="X714" s="6"/>
      <c r="Y714" s="6"/>
      <c r="Z714" s="6"/>
      <c r="AA714" s="6" t="s">
        <v>343</v>
      </c>
    </row>
    <row r="715" spans="1:27" s="4" customFormat="1" ht="42" customHeight="1">
      <c r="A715" s="5">
        <v>0</v>
      </c>
      <c r="B715" s="6" t="s">
        <v>4004</v>
      </c>
      <c r="C715" s="13">
        <v>1194.9000000000001</v>
      </c>
      <c r="D715" s="8" t="s">
        <v>4005</v>
      </c>
      <c r="E715" s="8" t="s">
        <v>4006</v>
      </c>
      <c r="F715" s="8" t="s">
        <v>4007</v>
      </c>
      <c r="G715" s="6" t="s">
        <v>51</v>
      </c>
      <c r="H715" s="6" t="s">
        <v>52</v>
      </c>
      <c r="I715" s="8" t="s">
        <v>251</v>
      </c>
      <c r="J715" s="9">
        <v>1</v>
      </c>
      <c r="K715" s="9">
        <v>342</v>
      </c>
      <c r="L715" s="9">
        <v>2020</v>
      </c>
      <c r="M715" s="8" t="s">
        <v>4008</v>
      </c>
      <c r="N715" s="8" t="s">
        <v>40</v>
      </c>
      <c r="O715" s="8" t="s">
        <v>41</v>
      </c>
      <c r="P715" s="6" t="s">
        <v>42</v>
      </c>
      <c r="Q715" s="8" t="s">
        <v>43</v>
      </c>
      <c r="R715" s="10" t="s">
        <v>304</v>
      </c>
      <c r="S715" s="11"/>
      <c r="T715" s="6"/>
      <c r="U715" s="28" t="str">
        <f>HYPERLINK("https://media.infra-m.ru/1042/1042253/cover/1042253.jpg", "Обложка")</f>
        <v>Обложка</v>
      </c>
      <c r="V715" s="28" t="str">
        <f>HYPERLINK("https://znanium.com/catalog/product/1042253", "Ознакомиться")</f>
        <v>Ознакомиться</v>
      </c>
      <c r="W715" s="8"/>
      <c r="X715" s="6"/>
      <c r="Y715" s="6"/>
      <c r="Z715" s="6"/>
      <c r="AA715" s="6" t="s">
        <v>3131</v>
      </c>
    </row>
    <row r="716" spans="1:27" s="4" customFormat="1" ht="51.95" customHeight="1">
      <c r="A716" s="5">
        <v>0</v>
      </c>
      <c r="B716" s="6" t="s">
        <v>4009</v>
      </c>
      <c r="C716" s="13">
        <v>1514</v>
      </c>
      <c r="D716" s="8" t="s">
        <v>4010</v>
      </c>
      <c r="E716" s="8" t="s">
        <v>4011</v>
      </c>
      <c r="F716" s="8" t="s">
        <v>4012</v>
      </c>
      <c r="G716" s="6" t="s">
        <v>37</v>
      </c>
      <c r="H716" s="6" t="s">
        <v>52</v>
      </c>
      <c r="I716" s="8" t="s">
        <v>120</v>
      </c>
      <c r="J716" s="9">
        <v>1</v>
      </c>
      <c r="K716" s="9">
        <v>332</v>
      </c>
      <c r="L716" s="9">
        <v>2023</v>
      </c>
      <c r="M716" s="8" t="s">
        <v>4013</v>
      </c>
      <c r="N716" s="8" t="s">
        <v>40</v>
      </c>
      <c r="O716" s="8" t="s">
        <v>41</v>
      </c>
      <c r="P716" s="6" t="s">
        <v>95</v>
      </c>
      <c r="Q716" s="8" t="s">
        <v>76</v>
      </c>
      <c r="R716" s="10" t="s">
        <v>235</v>
      </c>
      <c r="S716" s="11" t="s">
        <v>4014</v>
      </c>
      <c r="T716" s="6"/>
      <c r="U716" s="28" t="str">
        <f>HYPERLINK("https://media.infra-m.ru/2009/2009711/cover/2009711.jpg", "Обложка")</f>
        <v>Обложка</v>
      </c>
      <c r="V716" s="28" t="str">
        <f>HYPERLINK("https://znanium.com/catalog/product/2083314", "Ознакомиться")</f>
        <v>Ознакомиться</v>
      </c>
      <c r="W716" s="8"/>
      <c r="X716" s="6"/>
      <c r="Y716" s="6"/>
      <c r="Z716" s="6"/>
      <c r="AA716" s="6" t="s">
        <v>640</v>
      </c>
    </row>
    <row r="717" spans="1:27" s="4" customFormat="1" ht="51.95" customHeight="1">
      <c r="A717" s="5">
        <v>0</v>
      </c>
      <c r="B717" s="6" t="s">
        <v>4015</v>
      </c>
      <c r="C717" s="13">
        <v>1560</v>
      </c>
      <c r="D717" s="8" t="s">
        <v>4016</v>
      </c>
      <c r="E717" s="8" t="s">
        <v>4017</v>
      </c>
      <c r="F717" s="8" t="s">
        <v>4012</v>
      </c>
      <c r="G717" s="6" t="s">
        <v>58</v>
      </c>
      <c r="H717" s="6" t="s">
        <v>52</v>
      </c>
      <c r="I717" s="8" t="s">
        <v>120</v>
      </c>
      <c r="J717" s="9">
        <v>1</v>
      </c>
      <c r="K717" s="9">
        <v>331</v>
      </c>
      <c r="L717" s="9">
        <v>2024</v>
      </c>
      <c r="M717" s="8" t="s">
        <v>4018</v>
      </c>
      <c r="N717" s="8" t="s">
        <v>40</v>
      </c>
      <c r="O717" s="8" t="s">
        <v>41</v>
      </c>
      <c r="P717" s="6" t="s">
        <v>95</v>
      </c>
      <c r="Q717" s="8" t="s">
        <v>680</v>
      </c>
      <c r="R717" s="10" t="s">
        <v>235</v>
      </c>
      <c r="S717" s="11" t="s">
        <v>4014</v>
      </c>
      <c r="T717" s="6" t="s">
        <v>368</v>
      </c>
      <c r="U717" s="28" t="str">
        <f>HYPERLINK("https://media.infra-m.ru/2083/2083314/cover/2083314.jpg", "Обложка")</f>
        <v>Обложка</v>
      </c>
      <c r="V717" s="28" t="str">
        <f>HYPERLINK("https://znanium.com/catalog/product/2083314", "Ознакомиться")</f>
        <v>Ознакомиться</v>
      </c>
      <c r="W717" s="8"/>
      <c r="X717" s="6" t="s">
        <v>99</v>
      </c>
      <c r="Y717" s="6"/>
      <c r="Z717" s="6"/>
      <c r="AA717" s="6" t="s">
        <v>4019</v>
      </c>
    </row>
    <row r="718" spans="1:27" s="4" customFormat="1" ht="51.95" customHeight="1">
      <c r="A718" s="5">
        <v>0</v>
      </c>
      <c r="B718" s="6" t="s">
        <v>4020</v>
      </c>
      <c r="C718" s="7">
        <v>560</v>
      </c>
      <c r="D718" s="8" t="s">
        <v>4021</v>
      </c>
      <c r="E718" s="8" t="s">
        <v>4022</v>
      </c>
      <c r="F718" s="8" t="s">
        <v>4007</v>
      </c>
      <c r="G718" s="6" t="s">
        <v>51</v>
      </c>
      <c r="H718" s="6" t="s">
        <v>52</v>
      </c>
      <c r="I718" s="8" t="s">
        <v>3026</v>
      </c>
      <c r="J718" s="9">
        <v>1</v>
      </c>
      <c r="K718" s="9">
        <v>281</v>
      </c>
      <c r="L718" s="9">
        <v>2019</v>
      </c>
      <c r="M718" s="8" t="s">
        <v>4023</v>
      </c>
      <c r="N718" s="8" t="s">
        <v>40</v>
      </c>
      <c r="O718" s="8" t="s">
        <v>41</v>
      </c>
      <c r="P718" s="6" t="s">
        <v>75</v>
      </c>
      <c r="Q718" s="8" t="s">
        <v>76</v>
      </c>
      <c r="R718" s="10" t="s">
        <v>2994</v>
      </c>
      <c r="S718" s="11"/>
      <c r="T718" s="6"/>
      <c r="U718" s="28" t="str">
        <f>HYPERLINK("https://media.infra-m.ru/0999/0999590/cover/999590.jpg", "Обложка")</f>
        <v>Обложка</v>
      </c>
      <c r="V718" s="28" t="str">
        <f>HYPERLINK("https://znanium.com/catalog/product/2073484", "Ознакомиться")</f>
        <v>Ознакомиться</v>
      </c>
      <c r="W718" s="8"/>
      <c r="X718" s="6"/>
      <c r="Y718" s="6"/>
      <c r="Z718" s="6"/>
      <c r="AA718" s="6" t="s">
        <v>524</v>
      </c>
    </row>
    <row r="719" spans="1:27" s="4" customFormat="1" ht="51.95" customHeight="1">
      <c r="A719" s="5">
        <v>0</v>
      </c>
      <c r="B719" s="6" t="s">
        <v>4024</v>
      </c>
      <c r="C719" s="7">
        <v>850</v>
      </c>
      <c r="D719" s="8" t="s">
        <v>4025</v>
      </c>
      <c r="E719" s="8" t="s">
        <v>4017</v>
      </c>
      <c r="F719" s="8" t="s">
        <v>4012</v>
      </c>
      <c r="G719" s="6" t="s">
        <v>51</v>
      </c>
      <c r="H719" s="6" t="s">
        <v>52</v>
      </c>
      <c r="I719" s="8" t="s">
        <v>120</v>
      </c>
      <c r="J719" s="9">
        <v>1</v>
      </c>
      <c r="K719" s="9">
        <v>282</v>
      </c>
      <c r="L719" s="9">
        <v>2024</v>
      </c>
      <c r="M719" s="8" t="s">
        <v>4026</v>
      </c>
      <c r="N719" s="8" t="s">
        <v>40</v>
      </c>
      <c r="O719" s="8" t="s">
        <v>41</v>
      </c>
      <c r="P719" s="6" t="s">
        <v>75</v>
      </c>
      <c r="Q719" s="8" t="s">
        <v>76</v>
      </c>
      <c r="R719" s="10" t="s">
        <v>2994</v>
      </c>
      <c r="S719" s="11"/>
      <c r="T719" s="6"/>
      <c r="U719" s="28" t="str">
        <f>HYPERLINK("https://media.infra-m.ru/2073/2073484/cover/2073484.jpg", "Обложка")</f>
        <v>Обложка</v>
      </c>
      <c r="V719" s="28" t="str">
        <f>HYPERLINK("https://znanium.com/catalog/product/2073484", "Ознакомиться")</f>
        <v>Ознакомиться</v>
      </c>
      <c r="W719" s="8"/>
      <c r="X719" s="6" t="s">
        <v>475</v>
      </c>
      <c r="Y719" s="6"/>
      <c r="Z719" s="6"/>
      <c r="AA719" s="6" t="s">
        <v>4019</v>
      </c>
    </row>
    <row r="720" spans="1:27" s="4" customFormat="1" ht="51.95" customHeight="1">
      <c r="A720" s="5">
        <v>0</v>
      </c>
      <c r="B720" s="6" t="s">
        <v>4027</v>
      </c>
      <c r="C720" s="7">
        <v>569.9</v>
      </c>
      <c r="D720" s="8" t="s">
        <v>4028</v>
      </c>
      <c r="E720" s="8" t="s">
        <v>4011</v>
      </c>
      <c r="F720" s="8" t="s">
        <v>4012</v>
      </c>
      <c r="G720" s="6" t="s">
        <v>51</v>
      </c>
      <c r="H720" s="6" t="s">
        <v>52</v>
      </c>
      <c r="I720" s="8" t="s">
        <v>3026</v>
      </c>
      <c r="J720" s="9">
        <v>1</v>
      </c>
      <c r="K720" s="9">
        <v>281</v>
      </c>
      <c r="L720" s="9">
        <v>2019</v>
      </c>
      <c r="M720" s="8" t="s">
        <v>4029</v>
      </c>
      <c r="N720" s="8" t="s">
        <v>40</v>
      </c>
      <c r="O720" s="8" t="s">
        <v>41</v>
      </c>
      <c r="P720" s="6" t="s">
        <v>75</v>
      </c>
      <c r="Q720" s="8" t="s">
        <v>76</v>
      </c>
      <c r="R720" s="10" t="s">
        <v>2994</v>
      </c>
      <c r="S720" s="11"/>
      <c r="T720" s="6"/>
      <c r="U720" s="28" t="str">
        <f>HYPERLINK("https://media.infra-m.ru/1020/1020210/cover/1020210.jpg", "Обложка")</f>
        <v>Обложка</v>
      </c>
      <c r="V720" s="28" t="str">
        <f>HYPERLINK("https://znanium.com/catalog/product/2073484", "Ознакомиться")</f>
        <v>Ознакомиться</v>
      </c>
      <c r="W720" s="8"/>
      <c r="X720" s="6"/>
      <c r="Y720" s="6"/>
      <c r="Z720" s="6"/>
      <c r="AA720" s="6" t="s">
        <v>640</v>
      </c>
    </row>
    <row r="721" spans="1:27" s="4" customFormat="1" ht="51.95" customHeight="1">
      <c r="A721" s="5">
        <v>0</v>
      </c>
      <c r="B721" s="6" t="s">
        <v>4030</v>
      </c>
      <c r="C721" s="13">
        <v>1240</v>
      </c>
      <c r="D721" s="8" t="s">
        <v>4031</v>
      </c>
      <c r="E721" s="8" t="s">
        <v>4032</v>
      </c>
      <c r="F721" s="8" t="s">
        <v>4012</v>
      </c>
      <c r="G721" s="6" t="s">
        <v>58</v>
      </c>
      <c r="H721" s="6" t="s">
        <v>52</v>
      </c>
      <c r="I721" s="8" t="s">
        <v>2171</v>
      </c>
      <c r="J721" s="9">
        <v>1</v>
      </c>
      <c r="K721" s="9">
        <v>326</v>
      </c>
      <c r="L721" s="9">
        <v>2022</v>
      </c>
      <c r="M721" s="8" t="s">
        <v>4033</v>
      </c>
      <c r="N721" s="8" t="s">
        <v>40</v>
      </c>
      <c r="O721" s="8" t="s">
        <v>41</v>
      </c>
      <c r="P721" s="6" t="s">
        <v>95</v>
      </c>
      <c r="Q721" s="8" t="s">
        <v>96</v>
      </c>
      <c r="R721" s="10" t="s">
        <v>3094</v>
      </c>
      <c r="S721" s="11" t="s">
        <v>4014</v>
      </c>
      <c r="T721" s="6" t="s">
        <v>368</v>
      </c>
      <c r="U721" s="28" t="str">
        <f>HYPERLINK("https://media.infra-m.ru/1844/1844547/cover/1844547.jpg", "Обложка")</f>
        <v>Обложка</v>
      </c>
      <c r="V721" s="28" t="str">
        <f>HYPERLINK("https://znanium.com/catalog/product/1844547", "Ознакомиться")</f>
        <v>Ознакомиться</v>
      </c>
      <c r="W721" s="8"/>
      <c r="X721" s="6"/>
      <c r="Y721" s="6"/>
      <c r="Z721" s="6" t="s">
        <v>1113</v>
      </c>
      <c r="AA721" s="6" t="s">
        <v>343</v>
      </c>
    </row>
    <row r="722" spans="1:27" s="4" customFormat="1" ht="51.95" customHeight="1">
      <c r="A722" s="5">
        <v>0</v>
      </c>
      <c r="B722" s="6" t="s">
        <v>4034</v>
      </c>
      <c r="C722" s="7">
        <v>950</v>
      </c>
      <c r="D722" s="8" t="s">
        <v>4035</v>
      </c>
      <c r="E722" s="8" t="s">
        <v>4022</v>
      </c>
      <c r="F722" s="8" t="s">
        <v>4012</v>
      </c>
      <c r="G722" s="6" t="s">
        <v>37</v>
      </c>
      <c r="H722" s="6" t="s">
        <v>52</v>
      </c>
      <c r="I722" s="8" t="s">
        <v>185</v>
      </c>
      <c r="J722" s="9">
        <v>1</v>
      </c>
      <c r="K722" s="9">
        <v>324</v>
      </c>
      <c r="L722" s="9">
        <v>2018</v>
      </c>
      <c r="M722" s="8" t="s">
        <v>4036</v>
      </c>
      <c r="N722" s="8" t="s">
        <v>40</v>
      </c>
      <c r="O722" s="8" t="s">
        <v>41</v>
      </c>
      <c r="P722" s="6" t="s">
        <v>95</v>
      </c>
      <c r="Q722" s="8" t="s">
        <v>76</v>
      </c>
      <c r="R722" s="10" t="s">
        <v>235</v>
      </c>
      <c r="S722" s="11" t="s">
        <v>4014</v>
      </c>
      <c r="T722" s="6" t="s">
        <v>368</v>
      </c>
      <c r="U722" s="28" t="str">
        <f>HYPERLINK("https://media.infra-m.ru/0961/0961749/cover/961749.jpg", "Обложка")</f>
        <v>Обложка</v>
      </c>
      <c r="V722" s="28" t="str">
        <f>HYPERLINK("https://znanium.com/catalog/product/2083314", "Ознакомиться")</f>
        <v>Ознакомиться</v>
      </c>
      <c r="W722" s="8"/>
      <c r="X722" s="6"/>
      <c r="Y722" s="6"/>
      <c r="Z722" s="6"/>
      <c r="AA722" s="6" t="s">
        <v>524</v>
      </c>
    </row>
    <row r="723" spans="1:27" s="4" customFormat="1" ht="51.95" customHeight="1">
      <c r="A723" s="5">
        <v>0</v>
      </c>
      <c r="B723" s="6" t="s">
        <v>4037</v>
      </c>
      <c r="C723" s="13">
        <v>1870</v>
      </c>
      <c r="D723" s="8" t="s">
        <v>4038</v>
      </c>
      <c r="E723" s="8" t="s">
        <v>4039</v>
      </c>
      <c r="F723" s="8" t="s">
        <v>4040</v>
      </c>
      <c r="G723" s="6" t="s">
        <v>37</v>
      </c>
      <c r="H723" s="6" t="s">
        <v>84</v>
      </c>
      <c r="I723" s="8"/>
      <c r="J723" s="9">
        <v>1</v>
      </c>
      <c r="K723" s="9">
        <v>415</v>
      </c>
      <c r="L723" s="9">
        <v>2023</v>
      </c>
      <c r="M723" s="8" t="s">
        <v>4041</v>
      </c>
      <c r="N723" s="8" t="s">
        <v>40</v>
      </c>
      <c r="O723" s="8" t="s">
        <v>41</v>
      </c>
      <c r="P723" s="6" t="s">
        <v>42</v>
      </c>
      <c r="Q723" s="8" t="s">
        <v>43</v>
      </c>
      <c r="R723" s="10" t="s">
        <v>452</v>
      </c>
      <c r="S723" s="11"/>
      <c r="T723" s="6"/>
      <c r="U723" s="28" t="str">
        <f>HYPERLINK("https://media.infra-m.ru/1979/1979995/cover/1979995.jpg", "Обложка")</f>
        <v>Обложка</v>
      </c>
      <c r="V723" s="28" t="str">
        <f>HYPERLINK("https://znanium.com/catalog/product/1979995", "Ознакомиться")</f>
        <v>Ознакомиться</v>
      </c>
      <c r="W723" s="8" t="s">
        <v>813</v>
      </c>
      <c r="X723" s="6"/>
      <c r="Y723" s="6"/>
      <c r="Z723" s="6"/>
      <c r="AA723" s="6" t="s">
        <v>524</v>
      </c>
    </row>
    <row r="724" spans="1:27" s="4" customFormat="1" ht="42" customHeight="1">
      <c r="A724" s="5">
        <v>0</v>
      </c>
      <c r="B724" s="6" t="s">
        <v>4042</v>
      </c>
      <c r="C724" s="7">
        <v>824.9</v>
      </c>
      <c r="D724" s="8" t="s">
        <v>4043</v>
      </c>
      <c r="E724" s="8" t="s">
        <v>4044</v>
      </c>
      <c r="F724" s="8" t="s">
        <v>4045</v>
      </c>
      <c r="G724" s="6" t="s">
        <v>1726</v>
      </c>
      <c r="H724" s="6" t="s">
        <v>38</v>
      </c>
      <c r="I724" s="8"/>
      <c r="J724" s="14">
        <v>0</v>
      </c>
      <c r="K724" s="9">
        <v>576</v>
      </c>
      <c r="L724" s="9">
        <v>2015</v>
      </c>
      <c r="M724" s="8" t="s">
        <v>4046</v>
      </c>
      <c r="N724" s="8" t="s">
        <v>40</v>
      </c>
      <c r="O724" s="8" t="s">
        <v>41</v>
      </c>
      <c r="P724" s="6" t="s">
        <v>2805</v>
      </c>
      <c r="Q724" s="8" t="s">
        <v>43</v>
      </c>
      <c r="R724" s="10"/>
      <c r="S724" s="11"/>
      <c r="T724" s="6"/>
      <c r="U724" s="28" t="str">
        <f>HYPERLINK("https://media.infra-m.ru/0765/0765855/cover/765855.jpg", "Обложка")</f>
        <v>Обложка</v>
      </c>
      <c r="V724" s="12"/>
      <c r="W724" s="8" t="s">
        <v>4047</v>
      </c>
      <c r="X724" s="6"/>
      <c r="Y724" s="6"/>
      <c r="Z724" s="6"/>
      <c r="AA724" s="6" t="s">
        <v>298</v>
      </c>
    </row>
    <row r="725" spans="1:27" s="4" customFormat="1" ht="42" customHeight="1">
      <c r="A725" s="5">
        <v>0</v>
      </c>
      <c r="B725" s="6" t="s">
        <v>4048</v>
      </c>
      <c r="C725" s="13">
        <v>1203.9000000000001</v>
      </c>
      <c r="D725" s="8" t="s">
        <v>4049</v>
      </c>
      <c r="E725" s="8" t="s">
        <v>4050</v>
      </c>
      <c r="F725" s="8" t="s">
        <v>4051</v>
      </c>
      <c r="G725" s="6" t="s">
        <v>1726</v>
      </c>
      <c r="H725" s="6" t="s">
        <v>38</v>
      </c>
      <c r="I725" s="8"/>
      <c r="J725" s="14">
        <v>0</v>
      </c>
      <c r="K725" s="9">
        <v>912</v>
      </c>
      <c r="L725" s="9">
        <v>2015</v>
      </c>
      <c r="M725" s="8" t="s">
        <v>4052</v>
      </c>
      <c r="N725" s="8" t="s">
        <v>40</v>
      </c>
      <c r="O725" s="8" t="s">
        <v>41</v>
      </c>
      <c r="P725" s="6" t="s">
        <v>2805</v>
      </c>
      <c r="Q725" s="8" t="s">
        <v>43</v>
      </c>
      <c r="R725" s="10"/>
      <c r="S725" s="11"/>
      <c r="T725" s="6"/>
      <c r="U725" s="28" t="str">
        <f>HYPERLINK("https://media.infra-m.ru/0765/0765853/cover/765853.jpg", "Обложка")</f>
        <v>Обложка</v>
      </c>
      <c r="V725" s="12"/>
      <c r="W725" s="8" t="s">
        <v>114</v>
      </c>
      <c r="X725" s="6"/>
      <c r="Y725" s="6"/>
      <c r="Z725" s="6"/>
      <c r="AA725" s="6" t="s">
        <v>298</v>
      </c>
    </row>
    <row r="726" spans="1:27" s="4" customFormat="1" ht="51.95" customHeight="1">
      <c r="A726" s="5">
        <v>0</v>
      </c>
      <c r="B726" s="6" t="s">
        <v>4053</v>
      </c>
      <c r="C726" s="7">
        <v>620</v>
      </c>
      <c r="D726" s="8" t="s">
        <v>4054</v>
      </c>
      <c r="E726" s="8" t="s">
        <v>4055</v>
      </c>
      <c r="F726" s="8" t="s">
        <v>4056</v>
      </c>
      <c r="G726" s="6" t="s">
        <v>51</v>
      </c>
      <c r="H726" s="6" t="s">
        <v>272</v>
      </c>
      <c r="I726" s="8" t="s">
        <v>185</v>
      </c>
      <c r="J726" s="9">
        <v>1</v>
      </c>
      <c r="K726" s="9">
        <v>192</v>
      </c>
      <c r="L726" s="9">
        <v>2019</v>
      </c>
      <c r="M726" s="8" t="s">
        <v>4057</v>
      </c>
      <c r="N726" s="8" t="s">
        <v>40</v>
      </c>
      <c r="O726" s="8" t="s">
        <v>41</v>
      </c>
      <c r="P726" s="6" t="s">
        <v>95</v>
      </c>
      <c r="Q726" s="8" t="s">
        <v>76</v>
      </c>
      <c r="R726" s="10" t="s">
        <v>4058</v>
      </c>
      <c r="S726" s="11" t="s">
        <v>4059</v>
      </c>
      <c r="T726" s="6"/>
      <c r="U726" s="28" t="str">
        <f>HYPERLINK("https://media.infra-m.ru/1008/1008137/cover/1008137.jpg", "Обложка")</f>
        <v>Обложка</v>
      </c>
      <c r="V726" s="28" t="str">
        <f>HYPERLINK("https://znanium.com/catalog/product/1008137", "Ознакомиться")</f>
        <v>Ознакомиться</v>
      </c>
      <c r="W726" s="8" t="s">
        <v>1568</v>
      </c>
      <c r="X726" s="6"/>
      <c r="Y726" s="6"/>
      <c r="Z726" s="6"/>
      <c r="AA726" s="6" t="s">
        <v>215</v>
      </c>
    </row>
    <row r="727" spans="1:27" s="4" customFormat="1" ht="51.95" customHeight="1">
      <c r="A727" s="5">
        <v>0</v>
      </c>
      <c r="B727" s="6" t="s">
        <v>4060</v>
      </c>
      <c r="C727" s="13">
        <v>1244</v>
      </c>
      <c r="D727" s="8" t="s">
        <v>4061</v>
      </c>
      <c r="E727" s="8" t="s">
        <v>4062</v>
      </c>
      <c r="F727" s="8" t="s">
        <v>4063</v>
      </c>
      <c r="G727" s="6" t="s">
        <v>37</v>
      </c>
      <c r="H727" s="6" t="s">
        <v>84</v>
      </c>
      <c r="I727" s="8" t="s">
        <v>93</v>
      </c>
      <c r="J727" s="9">
        <v>1</v>
      </c>
      <c r="K727" s="9">
        <v>269</v>
      </c>
      <c r="L727" s="9">
        <v>2023</v>
      </c>
      <c r="M727" s="8" t="s">
        <v>4064</v>
      </c>
      <c r="N727" s="8" t="s">
        <v>40</v>
      </c>
      <c r="O727" s="8" t="s">
        <v>41</v>
      </c>
      <c r="P727" s="6" t="s">
        <v>75</v>
      </c>
      <c r="Q727" s="8" t="s">
        <v>96</v>
      </c>
      <c r="R727" s="10" t="s">
        <v>4065</v>
      </c>
      <c r="S727" s="11" t="s">
        <v>4066</v>
      </c>
      <c r="T727" s="6"/>
      <c r="U727" s="28" t="str">
        <f>HYPERLINK("https://media.infra-m.ru/2115/2115300/cover/2115300.jpg", "Обложка")</f>
        <v>Обложка</v>
      </c>
      <c r="V727" s="28" t="str">
        <f>HYPERLINK("https://znanium.com/catalog/product/2115299", "Ознакомиться")</f>
        <v>Ознакомиться</v>
      </c>
      <c r="W727" s="8" t="s">
        <v>4067</v>
      </c>
      <c r="X727" s="6"/>
      <c r="Y727" s="6"/>
      <c r="Z727" s="6"/>
      <c r="AA727" s="6" t="s">
        <v>62</v>
      </c>
    </row>
    <row r="728" spans="1:27" s="4" customFormat="1" ht="51.95" customHeight="1">
      <c r="A728" s="5">
        <v>0</v>
      </c>
      <c r="B728" s="6" t="s">
        <v>4068</v>
      </c>
      <c r="C728" s="7">
        <v>890</v>
      </c>
      <c r="D728" s="8" t="s">
        <v>4069</v>
      </c>
      <c r="E728" s="8" t="s">
        <v>4070</v>
      </c>
      <c r="F728" s="8" t="s">
        <v>4071</v>
      </c>
      <c r="G728" s="6" t="s">
        <v>58</v>
      </c>
      <c r="H728" s="6" t="s">
        <v>84</v>
      </c>
      <c r="I728" s="8" t="s">
        <v>251</v>
      </c>
      <c r="J728" s="9">
        <v>1</v>
      </c>
      <c r="K728" s="9">
        <v>190</v>
      </c>
      <c r="L728" s="9">
        <v>2022</v>
      </c>
      <c r="M728" s="8" t="s">
        <v>4072</v>
      </c>
      <c r="N728" s="8" t="s">
        <v>40</v>
      </c>
      <c r="O728" s="8" t="s">
        <v>41</v>
      </c>
      <c r="P728" s="6" t="s">
        <v>42</v>
      </c>
      <c r="Q728" s="8" t="s">
        <v>43</v>
      </c>
      <c r="R728" s="10" t="s">
        <v>1318</v>
      </c>
      <c r="S728" s="11"/>
      <c r="T728" s="6"/>
      <c r="U728" s="28" t="str">
        <f>HYPERLINK("https://media.infra-m.ru/1860/1860936/cover/1860936.jpg", "Обложка")</f>
        <v>Обложка</v>
      </c>
      <c r="V728" s="28" t="str">
        <f>HYPERLINK("https://znanium.com/catalog/product/1860936", "Ознакомиться")</f>
        <v>Ознакомиться</v>
      </c>
      <c r="W728" s="8" t="s">
        <v>3659</v>
      </c>
      <c r="X728" s="6"/>
      <c r="Y728" s="6"/>
      <c r="Z728" s="6"/>
      <c r="AA728" s="6" t="s">
        <v>343</v>
      </c>
    </row>
    <row r="729" spans="1:27" s="4" customFormat="1" ht="51.95" customHeight="1">
      <c r="A729" s="5">
        <v>0</v>
      </c>
      <c r="B729" s="6" t="s">
        <v>4073</v>
      </c>
      <c r="C729" s="13">
        <v>1020</v>
      </c>
      <c r="D729" s="8" t="s">
        <v>4074</v>
      </c>
      <c r="E729" s="8" t="s">
        <v>4075</v>
      </c>
      <c r="F729" s="8" t="s">
        <v>3008</v>
      </c>
      <c r="G729" s="6" t="s">
        <v>51</v>
      </c>
      <c r="H729" s="6" t="s">
        <v>38</v>
      </c>
      <c r="I729" s="8"/>
      <c r="J729" s="9">
        <v>1</v>
      </c>
      <c r="K729" s="9">
        <v>224</v>
      </c>
      <c r="L729" s="9">
        <v>2023</v>
      </c>
      <c r="M729" s="8" t="s">
        <v>4076</v>
      </c>
      <c r="N729" s="8" t="s">
        <v>40</v>
      </c>
      <c r="O729" s="8" t="s">
        <v>41</v>
      </c>
      <c r="P729" s="6" t="s">
        <v>75</v>
      </c>
      <c r="Q729" s="8" t="s">
        <v>76</v>
      </c>
      <c r="R729" s="10" t="s">
        <v>4077</v>
      </c>
      <c r="S729" s="11" t="s">
        <v>4078</v>
      </c>
      <c r="T729" s="6"/>
      <c r="U729" s="28" t="str">
        <f>HYPERLINK("https://media.infra-m.ru/1981/1981725/cover/1981725.jpg", "Обложка")</f>
        <v>Обложка</v>
      </c>
      <c r="V729" s="28" t="str">
        <f>HYPERLINK("https://znanium.com/catalog/product/1981725", "Ознакомиться")</f>
        <v>Ознакомиться</v>
      </c>
      <c r="W729" s="8" t="s">
        <v>414</v>
      </c>
      <c r="X729" s="6"/>
      <c r="Y729" s="6"/>
      <c r="Z729" s="6"/>
      <c r="AA729" s="6" t="s">
        <v>422</v>
      </c>
    </row>
    <row r="730" spans="1:27" s="4" customFormat="1" ht="51.95" customHeight="1">
      <c r="A730" s="5">
        <v>0</v>
      </c>
      <c r="B730" s="6" t="s">
        <v>4079</v>
      </c>
      <c r="C730" s="7">
        <v>404.9</v>
      </c>
      <c r="D730" s="8" t="s">
        <v>4080</v>
      </c>
      <c r="E730" s="8" t="s">
        <v>4081</v>
      </c>
      <c r="F730" s="8" t="s">
        <v>4082</v>
      </c>
      <c r="G730" s="6" t="s">
        <v>51</v>
      </c>
      <c r="H730" s="6" t="s">
        <v>84</v>
      </c>
      <c r="I730" s="8" t="s">
        <v>251</v>
      </c>
      <c r="J730" s="9">
        <v>1</v>
      </c>
      <c r="K730" s="9">
        <v>132</v>
      </c>
      <c r="L730" s="9">
        <v>2018</v>
      </c>
      <c r="M730" s="8" t="s">
        <v>4083</v>
      </c>
      <c r="N730" s="8" t="s">
        <v>40</v>
      </c>
      <c r="O730" s="8" t="s">
        <v>41</v>
      </c>
      <c r="P730" s="6" t="s">
        <v>42</v>
      </c>
      <c r="Q730" s="8" t="s">
        <v>43</v>
      </c>
      <c r="R730" s="10" t="s">
        <v>764</v>
      </c>
      <c r="S730" s="11"/>
      <c r="T730" s="6"/>
      <c r="U730" s="28" t="str">
        <f>HYPERLINK("https://media.infra-m.ru/0920/0920518/cover/920518.jpg", "Обложка")</f>
        <v>Обложка</v>
      </c>
      <c r="V730" s="28" t="str">
        <f>HYPERLINK("https://znanium.com/catalog/product/920518", "Ознакомиться")</f>
        <v>Ознакомиться</v>
      </c>
      <c r="W730" s="8" t="s">
        <v>421</v>
      </c>
      <c r="X730" s="6"/>
      <c r="Y730" s="6"/>
      <c r="Z730" s="6"/>
      <c r="AA730" s="6" t="s">
        <v>415</v>
      </c>
    </row>
    <row r="731" spans="1:27" s="4" customFormat="1" ht="42" customHeight="1">
      <c r="A731" s="5">
        <v>0</v>
      </c>
      <c r="B731" s="6" t="s">
        <v>4084</v>
      </c>
      <c r="C731" s="7">
        <v>794.9</v>
      </c>
      <c r="D731" s="8" t="s">
        <v>4085</v>
      </c>
      <c r="E731" s="8" t="s">
        <v>4086</v>
      </c>
      <c r="F731" s="8" t="s">
        <v>4087</v>
      </c>
      <c r="G731" s="6" t="s">
        <v>58</v>
      </c>
      <c r="H731" s="6" t="s">
        <v>38</v>
      </c>
      <c r="I731" s="8" t="s">
        <v>4088</v>
      </c>
      <c r="J731" s="9">
        <v>1</v>
      </c>
      <c r="K731" s="9">
        <v>176</v>
      </c>
      <c r="L731" s="9">
        <v>2023</v>
      </c>
      <c r="M731" s="8" t="s">
        <v>4089</v>
      </c>
      <c r="N731" s="8" t="s">
        <v>40</v>
      </c>
      <c r="O731" s="8" t="s">
        <v>41</v>
      </c>
      <c r="P731" s="6" t="s">
        <v>42</v>
      </c>
      <c r="Q731" s="8" t="s">
        <v>43</v>
      </c>
      <c r="R731" s="10" t="s">
        <v>896</v>
      </c>
      <c r="S731" s="11"/>
      <c r="T731" s="6"/>
      <c r="U731" s="28" t="str">
        <f>HYPERLINK("https://media.infra-m.ru/1977/1977951/cover/1977951.jpg", "Обложка")</f>
        <v>Обложка</v>
      </c>
      <c r="V731" s="28" t="str">
        <f>HYPERLINK("https://znanium.com/catalog/product/923654", "Ознакомиться")</f>
        <v>Ознакомиться</v>
      </c>
      <c r="W731" s="8" t="s">
        <v>107</v>
      </c>
      <c r="X731" s="6"/>
      <c r="Y731" s="6"/>
      <c r="Z731" s="6"/>
      <c r="AA731" s="6" t="s">
        <v>524</v>
      </c>
    </row>
    <row r="732" spans="1:27" s="4" customFormat="1" ht="51.95" customHeight="1">
      <c r="A732" s="5">
        <v>0</v>
      </c>
      <c r="B732" s="6" t="s">
        <v>4090</v>
      </c>
      <c r="C732" s="13">
        <v>2430</v>
      </c>
      <c r="D732" s="8" t="s">
        <v>4091</v>
      </c>
      <c r="E732" s="8" t="s">
        <v>4092</v>
      </c>
      <c r="F732" s="8" t="s">
        <v>3073</v>
      </c>
      <c r="G732" s="6" t="s">
        <v>58</v>
      </c>
      <c r="H732" s="6" t="s">
        <v>38</v>
      </c>
      <c r="I732" s="8"/>
      <c r="J732" s="9">
        <v>1</v>
      </c>
      <c r="K732" s="9">
        <v>528</v>
      </c>
      <c r="L732" s="9">
        <v>2024</v>
      </c>
      <c r="M732" s="8" t="s">
        <v>4093</v>
      </c>
      <c r="N732" s="8" t="s">
        <v>40</v>
      </c>
      <c r="O732" s="8" t="s">
        <v>41</v>
      </c>
      <c r="P732" s="6" t="s">
        <v>1133</v>
      </c>
      <c r="Q732" s="8" t="s">
        <v>43</v>
      </c>
      <c r="R732" s="10" t="s">
        <v>60</v>
      </c>
      <c r="S732" s="11"/>
      <c r="T732" s="6"/>
      <c r="U732" s="28" t="str">
        <f>HYPERLINK("https://media.infra-m.ru/2098/2098567/cover/2098567.jpg", "Обложка")</f>
        <v>Обложка</v>
      </c>
      <c r="V732" s="28" t="str">
        <f>HYPERLINK("https://znanium.com/catalog/product/2098567", "Ознакомиться")</f>
        <v>Ознакомиться</v>
      </c>
      <c r="W732" s="8" t="s">
        <v>1362</v>
      </c>
      <c r="X732" s="6"/>
      <c r="Y732" s="6"/>
      <c r="Z732" s="6"/>
      <c r="AA732" s="6" t="s">
        <v>148</v>
      </c>
    </row>
    <row r="733" spans="1:27" s="4" customFormat="1" ht="51.95" customHeight="1">
      <c r="A733" s="5">
        <v>0</v>
      </c>
      <c r="B733" s="6" t="s">
        <v>4094</v>
      </c>
      <c r="C733" s="13">
        <v>1650</v>
      </c>
      <c r="D733" s="8" t="s">
        <v>4095</v>
      </c>
      <c r="E733" s="8" t="s">
        <v>4096</v>
      </c>
      <c r="F733" s="8" t="s">
        <v>4097</v>
      </c>
      <c r="G733" s="6" t="s">
        <v>37</v>
      </c>
      <c r="H733" s="6" t="s">
        <v>1247</v>
      </c>
      <c r="I733" s="8"/>
      <c r="J733" s="9">
        <v>1</v>
      </c>
      <c r="K733" s="9">
        <v>366</v>
      </c>
      <c r="L733" s="9">
        <v>2023</v>
      </c>
      <c r="M733" s="8" t="s">
        <v>4098</v>
      </c>
      <c r="N733" s="8" t="s">
        <v>40</v>
      </c>
      <c r="O733" s="8" t="s">
        <v>41</v>
      </c>
      <c r="P733" s="6" t="s">
        <v>75</v>
      </c>
      <c r="Q733" s="8" t="s">
        <v>157</v>
      </c>
      <c r="R733" s="10" t="s">
        <v>122</v>
      </c>
      <c r="S733" s="11" t="s">
        <v>4099</v>
      </c>
      <c r="T733" s="6" t="s">
        <v>368</v>
      </c>
      <c r="U733" s="28" t="str">
        <f>HYPERLINK("https://media.infra-m.ru/1913/1913219/cover/1913219.jpg", "Обложка")</f>
        <v>Обложка</v>
      </c>
      <c r="V733" s="28" t="str">
        <f>HYPERLINK("https://znanium.com/catalog/product/1913219", "Ознакомиться")</f>
        <v>Ознакомиться</v>
      </c>
      <c r="W733" s="8" t="s">
        <v>4100</v>
      </c>
      <c r="X733" s="6"/>
      <c r="Y733" s="6"/>
      <c r="Z733" s="6"/>
      <c r="AA733" s="6" t="s">
        <v>215</v>
      </c>
    </row>
    <row r="734" spans="1:27" s="4" customFormat="1" ht="51.95" customHeight="1">
      <c r="A734" s="5">
        <v>0</v>
      </c>
      <c r="B734" s="6" t="s">
        <v>4101</v>
      </c>
      <c r="C734" s="13">
        <v>1034</v>
      </c>
      <c r="D734" s="8" t="s">
        <v>4102</v>
      </c>
      <c r="E734" s="8" t="s">
        <v>4103</v>
      </c>
      <c r="F734" s="8" t="s">
        <v>4104</v>
      </c>
      <c r="G734" s="6" t="s">
        <v>58</v>
      </c>
      <c r="H734" s="6" t="s">
        <v>52</v>
      </c>
      <c r="I734" s="8" t="s">
        <v>2171</v>
      </c>
      <c r="J734" s="9">
        <v>1</v>
      </c>
      <c r="K734" s="9">
        <v>224</v>
      </c>
      <c r="L734" s="9">
        <v>2024</v>
      </c>
      <c r="M734" s="8" t="s">
        <v>4105</v>
      </c>
      <c r="N734" s="8" t="s">
        <v>40</v>
      </c>
      <c r="O734" s="8" t="s">
        <v>41</v>
      </c>
      <c r="P734" s="6" t="s">
        <v>75</v>
      </c>
      <c r="Q734" s="8" t="s">
        <v>76</v>
      </c>
      <c r="R734" s="10" t="s">
        <v>4106</v>
      </c>
      <c r="S734" s="11" t="s">
        <v>4107</v>
      </c>
      <c r="T734" s="6" t="s">
        <v>368</v>
      </c>
      <c r="U734" s="28" t="str">
        <f>HYPERLINK("https://media.infra-m.ru/2091/2091892/cover/2091892.jpg", "Обложка")</f>
        <v>Обложка</v>
      </c>
      <c r="V734" s="28" t="str">
        <f>HYPERLINK("https://znanium.com/catalog/product/1012997", "Ознакомиться")</f>
        <v>Ознакомиться</v>
      </c>
      <c r="W734" s="8" t="s">
        <v>2729</v>
      </c>
      <c r="X734" s="6"/>
      <c r="Y734" s="6"/>
      <c r="Z734" s="6"/>
      <c r="AA734" s="6" t="s">
        <v>524</v>
      </c>
    </row>
    <row r="735" spans="1:27" s="4" customFormat="1" ht="44.1" customHeight="1">
      <c r="A735" s="5">
        <v>0</v>
      </c>
      <c r="B735" s="6" t="s">
        <v>4108</v>
      </c>
      <c r="C735" s="7">
        <v>644.9</v>
      </c>
      <c r="D735" s="8" t="s">
        <v>4109</v>
      </c>
      <c r="E735" s="8" t="s">
        <v>4110</v>
      </c>
      <c r="F735" s="8" t="s">
        <v>4111</v>
      </c>
      <c r="G735" s="6" t="s">
        <v>51</v>
      </c>
      <c r="H735" s="6" t="s">
        <v>38</v>
      </c>
      <c r="I735" s="8"/>
      <c r="J735" s="9">
        <v>40</v>
      </c>
      <c r="K735" s="9">
        <v>224</v>
      </c>
      <c r="L735" s="9">
        <v>2019</v>
      </c>
      <c r="M735" s="8" t="s">
        <v>4112</v>
      </c>
      <c r="N735" s="8" t="s">
        <v>40</v>
      </c>
      <c r="O735" s="8" t="s">
        <v>41</v>
      </c>
      <c r="P735" s="6" t="s">
        <v>42</v>
      </c>
      <c r="Q735" s="8" t="s">
        <v>43</v>
      </c>
      <c r="R735" s="10" t="s">
        <v>304</v>
      </c>
      <c r="S735" s="11"/>
      <c r="T735" s="6"/>
      <c r="U735" s="28" t="str">
        <f>HYPERLINK("https://media.infra-m.ru/1008/1008025/cover/1008025.jpg", "Обложка")</f>
        <v>Обложка</v>
      </c>
      <c r="V735" s="28" t="str">
        <f>HYPERLINK("https://znanium.com/catalog/product/1008025", "Ознакомиться")</f>
        <v>Ознакомиться</v>
      </c>
      <c r="W735" s="8" t="s">
        <v>114</v>
      </c>
      <c r="X735" s="6"/>
      <c r="Y735" s="6"/>
      <c r="Z735" s="6"/>
      <c r="AA735" s="6" t="s">
        <v>289</v>
      </c>
    </row>
    <row r="736" spans="1:27" s="4" customFormat="1" ht="51.95" customHeight="1">
      <c r="A736" s="5">
        <v>0</v>
      </c>
      <c r="B736" s="6" t="s">
        <v>4113</v>
      </c>
      <c r="C736" s="13">
        <v>1190</v>
      </c>
      <c r="D736" s="8" t="s">
        <v>4114</v>
      </c>
      <c r="E736" s="8" t="s">
        <v>4115</v>
      </c>
      <c r="F736" s="8" t="s">
        <v>4116</v>
      </c>
      <c r="G736" s="6" t="s">
        <v>58</v>
      </c>
      <c r="H736" s="6" t="s">
        <v>84</v>
      </c>
      <c r="I736" s="8" t="s">
        <v>93</v>
      </c>
      <c r="J736" s="9">
        <v>1</v>
      </c>
      <c r="K736" s="9">
        <v>264</v>
      </c>
      <c r="L736" s="9">
        <v>2023</v>
      </c>
      <c r="M736" s="8" t="s">
        <v>4117</v>
      </c>
      <c r="N736" s="8" t="s">
        <v>40</v>
      </c>
      <c r="O736" s="8" t="s">
        <v>41</v>
      </c>
      <c r="P736" s="6" t="s">
        <v>75</v>
      </c>
      <c r="Q736" s="8" t="s">
        <v>96</v>
      </c>
      <c r="R736" s="10" t="s">
        <v>4118</v>
      </c>
      <c r="S736" s="11" t="s">
        <v>4119</v>
      </c>
      <c r="T736" s="6"/>
      <c r="U736" s="28" t="str">
        <f>HYPERLINK("https://media.infra-m.ru/1837/1837052/cover/1837052.jpg", "Обложка")</f>
        <v>Обложка</v>
      </c>
      <c r="V736" s="28" t="str">
        <f>HYPERLINK("https://znanium.com/catalog/product/1837052", "Ознакомиться")</f>
        <v>Ознакомиться</v>
      </c>
      <c r="W736" s="8" t="s">
        <v>3184</v>
      </c>
      <c r="X736" s="6"/>
      <c r="Y736" s="6"/>
      <c r="Z736" s="6"/>
      <c r="AA736" s="6" t="s">
        <v>408</v>
      </c>
    </row>
    <row r="737" spans="1:27" s="4" customFormat="1" ht="42" customHeight="1">
      <c r="A737" s="5">
        <v>0</v>
      </c>
      <c r="B737" s="6" t="s">
        <v>4120</v>
      </c>
      <c r="C737" s="13">
        <v>1384</v>
      </c>
      <c r="D737" s="8" t="s">
        <v>4121</v>
      </c>
      <c r="E737" s="8" t="s">
        <v>4122</v>
      </c>
      <c r="F737" s="8" t="s">
        <v>4123</v>
      </c>
      <c r="G737" s="6" t="s">
        <v>58</v>
      </c>
      <c r="H737" s="6" t="s">
        <v>52</v>
      </c>
      <c r="I737" s="8" t="s">
        <v>680</v>
      </c>
      <c r="J737" s="9">
        <v>1</v>
      </c>
      <c r="K737" s="9">
        <v>308</v>
      </c>
      <c r="L737" s="9">
        <v>2023</v>
      </c>
      <c r="M737" s="8" t="s">
        <v>4124</v>
      </c>
      <c r="N737" s="8" t="s">
        <v>40</v>
      </c>
      <c r="O737" s="8" t="s">
        <v>41</v>
      </c>
      <c r="P737" s="6" t="s">
        <v>95</v>
      </c>
      <c r="Q737" s="8" t="s">
        <v>96</v>
      </c>
      <c r="R737" s="10" t="s">
        <v>4125</v>
      </c>
      <c r="S737" s="11"/>
      <c r="T737" s="6" t="s">
        <v>368</v>
      </c>
      <c r="U737" s="28" t="str">
        <f>HYPERLINK("https://media.infra-m.ru/1998/1998960/cover/1998960.jpg", "Обложка")</f>
        <v>Обложка</v>
      </c>
      <c r="V737" s="28" t="str">
        <f>HYPERLINK("https://znanium.com/catalog/product/1081936", "Ознакомиться")</f>
        <v>Ознакомиться</v>
      </c>
      <c r="W737" s="8" t="s">
        <v>2373</v>
      </c>
      <c r="X737" s="6"/>
      <c r="Y737" s="6"/>
      <c r="Z737" s="6"/>
      <c r="AA737" s="6" t="s">
        <v>298</v>
      </c>
    </row>
    <row r="738" spans="1:27" s="4" customFormat="1" ht="51.95" customHeight="1">
      <c r="A738" s="5">
        <v>0</v>
      </c>
      <c r="B738" s="6" t="s">
        <v>4126</v>
      </c>
      <c r="C738" s="13">
        <v>2194</v>
      </c>
      <c r="D738" s="8" t="s">
        <v>4127</v>
      </c>
      <c r="E738" s="8" t="s">
        <v>4122</v>
      </c>
      <c r="F738" s="8" t="s">
        <v>4128</v>
      </c>
      <c r="G738" s="6" t="s">
        <v>58</v>
      </c>
      <c r="H738" s="6" t="s">
        <v>38</v>
      </c>
      <c r="I738" s="8"/>
      <c r="J738" s="9">
        <v>1</v>
      </c>
      <c r="K738" s="9">
        <v>480</v>
      </c>
      <c r="L738" s="9">
        <v>2023</v>
      </c>
      <c r="M738" s="8" t="s">
        <v>4129</v>
      </c>
      <c r="N738" s="8" t="s">
        <v>40</v>
      </c>
      <c r="O738" s="8" t="s">
        <v>41</v>
      </c>
      <c r="P738" s="6" t="s">
        <v>95</v>
      </c>
      <c r="Q738" s="8" t="s">
        <v>76</v>
      </c>
      <c r="R738" s="10" t="s">
        <v>4130</v>
      </c>
      <c r="S738" s="11"/>
      <c r="T738" s="6"/>
      <c r="U738" s="28" t="str">
        <f>HYPERLINK("https://media.infra-m.ru/2043/2043261/cover/2043261.jpg", "Обложка")</f>
        <v>Обложка</v>
      </c>
      <c r="V738" s="28" t="str">
        <f>HYPERLINK("https://znanium.com/catalog/product/1019844", "Ознакомиться")</f>
        <v>Ознакомиться</v>
      </c>
      <c r="W738" s="8" t="s">
        <v>1356</v>
      </c>
      <c r="X738" s="6"/>
      <c r="Y738" s="6"/>
      <c r="Z738" s="6"/>
      <c r="AA738" s="6" t="s">
        <v>298</v>
      </c>
    </row>
    <row r="739" spans="1:27" s="4" customFormat="1" ht="51.95" customHeight="1">
      <c r="A739" s="5">
        <v>0</v>
      </c>
      <c r="B739" s="6" t="s">
        <v>4131</v>
      </c>
      <c r="C739" s="13">
        <v>1844</v>
      </c>
      <c r="D739" s="8" t="s">
        <v>4132</v>
      </c>
      <c r="E739" s="8" t="s">
        <v>4133</v>
      </c>
      <c r="F739" s="8" t="s">
        <v>4134</v>
      </c>
      <c r="G739" s="6" t="s">
        <v>58</v>
      </c>
      <c r="H739" s="6" t="s">
        <v>427</v>
      </c>
      <c r="I739" s="8"/>
      <c r="J739" s="9">
        <v>1</v>
      </c>
      <c r="K739" s="9">
        <v>400</v>
      </c>
      <c r="L739" s="9">
        <v>2023</v>
      </c>
      <c r="M739" s="8" t="s">
        <v>4135</v>
      </c>
      <c r="N739" s="8" t="s">
        <v>40</v>
      </c>
      <c r="O739" s="8" t="s">
        <v>41</v>
      </c>
      <c r="P739" s="6" t="s">
        <v>95</v>
      </c>
      <c r="Q739" s="8" t="s">
        <v>96</v>
      </c>
      <c r="R739" s="10" t="s">
        <v>4136</v>
      </c>
      <c r="S739" s="11" t="s">
        <v>4137</v>
      </c>
      <c r="T739" s="6"/>
      <c r="U739" s="28" t="str">
        <f>HYPERLINK("https://media.infra-m.ru/1891/1891842/cover/1891842.jpg", "Обложка")</f>
        <v>Обложка</v>
      </c>
      <c r="V739" s="28" t="str">
        <f>HYPERLINK("https://znanium.com/catalog/product/1032055", "Ознакомиться")</f>
        <v>Ознакомиться</v>
      </c>
      <c r="W739" s="8" t="s">
        <v>3903</v>
      </c>
      <c r="X739" s="6"/>
      <c r="Y739" s="6" t="s">
        <v>30</v>
      </c>
      <c r="Z739" s="6"/>
      <c r="AA739" s="6" t="s">
        <v>727</v>
      </c>
    </row>
    <row r="740" spans="1:27" s="4" customFormat="1" ht="51.95" customHeight="1">
      <c r="A740" s="5">
        <v>0</v>
      </c>
      <c r="B740" s="6" t="s">
        <v>4138</v>
      </c>
      <c r="C740" s="13">
        <v>1044.9000000000001</v>
      </c>
      <c r="D740" s="8" t="s">
        <v>4139</v>
      </c>
      <c r="E740" s="8" t="s">
        <v>4140</v>
      </c>
      <c r="F740" s="8" t="s">
        <v>1714</v>
      </c>
      <c r="G740" s="6" t="s">
        <v>51</v>
      </c>
      <c r="H740" s="6" t="s">
        <v>52</v>
      </c>
      <c r="I740" s="8" t="s">
        <v>251</v>
      </c>
      <c r="J740" s="9">
        <v>1</v>
      </c>
      <c r="K740" s="9">
        <v>268</v>
      </c>
      <c r="L740" s="9">
        <v>2022</v>
      </c>
      <c r="M740" s="8" t="s">
        <v>4141</v>
      </c>
      <c r="N740" s="8" t="s">
        <v>40</v>
      </c>
      <c r="O740" s="8" t="s">
        <v>41</v>
      </c>
      <c r="P740" s="6" t="s">
        <v>42</v>
      </c>
      <c r="Q740" s="8" t="s">
        <v>43</v>
      </c>
      <c r="R740" s="10" t="s">
        <v>4142</v>
      </c>
      <c r="S740" s="11"/>
      <c r="T740" s="6"/>
      <c r="U740" s="28" t="str">
        <f>HYPERLINK("https://media.infra-m.ru/1859/1859602/cover/1859602.jpg", "Обложка")</f>
        <v>Обложка</v>
      </c>
      <c r="V740" s="28" t="str">
        <f>HYPERLINK("https://znanium.com/catalog/product/1002087", "Ознакомиться")</f>
        <v>Ознакомиться</v>
      </c>
      <c r="W740" s="8" t="s">
        <v>897</v>
      </c>
      <c r="X740" s="6"/>
      <c r="Y740" s="6"/>
      <c r="Z740" s="6"/>
      <c r="AA740" s="6" t="s">
        <v>422</v>
      </c>
    </row>
    <row r="741" spans="1:27" s="4" customFormat="1" ht="51.95" customHeight="1">
      <c r="A741" s="5">
        <v>0</v>
      </c>
      <c r="B741" s="6" t="s">
        <v>4143</v>
      </c>
      <c r="C741" s="7">
        <v>769.9</v>
      </c>
      <c r="D741" s="8" t="s">
        <v>4144</v>
      </c>
      <c r="E741" s="8" t="s">
        <v>4145</v>
      </c>
      <c r="F741" s="8" t="s">
        <v>4146</v>
      </c>
      <c r="G741" s="6" t="s">
        <v>51</v>
      </c>
      <c r="H741" s="6" t="s">
        <v>52</v>
      </c>
      <c r="I741" s="8" t="s">
        <v>316</v>
      </c>
      <c r="J741" s="9">
        <v>1</v>
      </c>
      <c r="K741" s="9">
        <v>170</v>
      </c>
      <c r="L741" s="9">
        <v>2023</v>
      </c>
      <c r="M741" s="8" t="s">
        <v>4147</v>
      </c>
      <c r="N741" s="8" t="s">
        <v>40</v>
      </c>
      <c r="O741" s="8" t="s">
        <v>41</v>
      </c>
      <c r="P741" s="6" t="s">
        <v>75</v>
      </c>
      <c r="Q741" s="8" t="s">
        <v>157</v>
      </c>
      <c r="R741" s="10" t="s">
        <v>122</v>
      </c>
      <c r="S741" s="11" t="s">
        <v>4148</v>
      </c>
      <c r="T741" s="6"/>
      <c r="U741" s="28" t="str">
        <f>HYPERLINK("https://media.infra-m.ru/1891/1891536/cover/1891536.jpg", "Обложка")</f>
        <v>Обложка</v>
      </c>
      <c r="V741" s="28" t="str">
        <f>HYPERLINK("https://znanium.com/catalog/product/1010098", "Ознакомиться")</f>
        <v>Ознакомиться</v>
      </c>
      <c r="W741" s="8" t="s">
        <v>78</v>
      </c>
      <c r="X741" s="6"/>
      <c r="Y741" s="6"/>
      <c r="Z741" s="6"/>
      <c r="AA741" s="6" t="s">
        <v>2442</v>
      </c>
    </row>
    <row r="742" spans="1:27" s="4" customFormat="1" ht="42" customHeight="1">
      <c r="A742" s="5">
        <v>0</v>
      </c>
      <c r="B742" s="6" t="s">
        <v>4149</v>
      </c>
      <c r="C742" s="13">
        <v>1360</v>
      </c>
      <c r="D742" s="8" t="s">
        <v>4150</v>
      </c>
      <c r="E742" s="8" t="s">
        <v>4151</v>
      </c>
      <c r="F742" s="8" t="s">
        <v>4152</v>
      </c>
      <c r="G742" s="6" t="s">
        <v>37</v>
      </c>
      <c r="H742" s="6" t="s">
        <v>38</v>
      </c>
      <c r="I742" s="8"/>
      <c r="J742" s="9">
        <v>1</v>
      </c>
      <c r="K742" s="9">
        <v>296</v>
      </c>
      <c r="L742" s="9">
        <v>2024</v>
      </c>
      <c r="M742" s="8" t="s">
        <v>4153</v>
      </c>
      <c r="N742" s="8" t="s">
        <v>40</v>
      </c>
      <c r="O742" s="8" t="s">
        <v>41</v>
      </c>
      <c r="P742" s="6" t="s">
        <v>75</v>
      </c>
      <c r="Q742" s="8" t="s">
        <v>680</v>
      </c>
      <c r="R742" s="10" t="s">
        <v>113</v>
      </c>
      <c r="S742" s="11"/>
      <c r="T742" s="6"/>
      <c r="U742" s="28" t="str">
        <f>HYPERLINK("https://media.infra-m.ru/2018/2018256/cover/2018256.jpg", "Обложка")</f>
        <v>Обложка</v>
      </c>
      <c r="V742" s="28" t="str">
        <f>HYPERLINK("https://znanium.com/catalog/product/2018256", "Ознакомиться")</f>
        <v>Ознакомиться</v>
      </c>
      <c r="W742" s="8"/>
      <c r="X742" s="6"/>
      <c r="Y742" s="6"/>
      <c r="Z742" s="6"/>
      <c r="AA742" s="6" t="s">
        <v>343</v>
      </c>
    </row>
    <row r="743" spans="1:27" s="4" customFormat="1" ht="51.95" customHeight="1">
      <c r="A743" s="5">
        <v>0</v>
      </c>
      <c r="B743" s="6" t="s">
        <v>4154</v>
      </c>
      <c r="C743" s="13">
        <v>1020</v>
      </c>
      <c r="D743" s="8" t="s">
        <v>4155</v>
      </c>
      <c r="E743" s="8" t="s">
        <v>4156</v>
      </c>
      <c r="F743" s="8" t="s">
        <v>4157</v>
      </c>
      <c r="G743" s="6" t="s">
        <v>51</v>
      </c>
      <c r="H743" s="6" t="s">
        <v>84</v>
      </c>
      <c r="I743" s="8" t="s">
        <v>251</v>
      </c>
      <c r="J743" s="9">
        <v>1</v>
      </c>
      <c r="K743" s="9">
        <v>222</v>
      </c>
      <c r="L743" s="9">
        <v>2023</v>
      </c>
      <c r="M743" s="8" t="s">
        <v>4158</v>
      </c>
      <c r="N743" s="8" t="s">
        <v>40</v>
      </c>
      <c r="O743" s="8" t="s">
        <v>41</v>
      </c>
      <c r="P743" s="6" t="s">
        <v>42</v>
      </c>
      <c r="Q743" s="8" t="s">
        <v>43</v>
      </c>
      <c r="R743" s="10" t="s">
        <v>584</v>
      </c>
      <c r="S743" s="11"/>
      <c r="T743" s="6"/>
      <c r="U743" s="28" t="str">
        <f>HYPERLINK("https://media.infra-m.ru/1993/1993672/cover/1993672.jpg", "Обложка")</f>
        <v>Обложка</v>
      </c>
      <c r="V743" s="28" t="str">
        <f>HYPERLINK("https://znanium.com/catalog/product/1993672", "Ознакомиться")</f>
        <v>Ознакомиться</v>
      </c>
      <c r="W743" s="8" t="s">
        <v>4159</v>
      </c>
      <c r="X743" s="6"/>
      <c r="Y743" s="6"/>
      <c r="Z743" s="6"/>
      <c r="AA743" s="6" t="s">
        <v>62</v>
      </c>
    </row>
    <row r="744" spans="1:27" s="4" customFormat="1" ht="42" customHeight="1">
      <c r="A744" s="5">
        <v>0</v>
      </c>
      <c r="B744" s="6" t="s">
        <v>4160</v>
      </c>
      <c r="C744" s="13">
        <v>2584.9</v>
      </c>
      <c r="D744" s="8" t="s">
        <v>4161</v>
      </c>
      <c r="E744" s="8" t="s">
        <v>4162</v>
      </c>
      <c r="F744" s="8" t="s">
        <v>4163</v>
      </c>
      <c r="G744" s="6" t="s">
        <v>37</v>
      </c>
      <c r="H744" s="6" t="s">
        <v>84</v>
      </c>
      <c r="I744" s="8" t="s">
        <v>251</v>
      </c>
      <c r="J744" s="9">
        <v>1</v>
      </c>
      <c r="K744" s="9">
        <v>574</v>
      </c>
      <c r="L744" s="9">
        <v>2023</v>
      </c>
      <c r="M744" s="8" t="s">
        <v>4164</v>
      </c>
      <c r="N744" s="8" t="s">
        <v>40</v>
      </c>
      <c r="O744" s="8" t="s">
        <v>41</v>
      </c>
      <c r="P744" s="6" t="s">
        <v>42</v>
      </c>
      <c r="Q744" s="8" t="s">
        <v>43</v>
      </c>
      <c r="R744" s="10" t="s">
        <v>937</v>
      </c>
      <c r="S744" s="11"/>
      <c r="T744" s="6"/>
      <c r="U744" s="28" t="str">
        <f>HYPERLINK("https://media.infra-m.ru/2044/2044344/cover/2044344.jpg", "Обложка")</f>
        <v>Обложка</v>
      </c>
      <c r="V744" s="28" t="str">
        <f>HYPERLINK("https://znanium.com/catalog/product/1230614", "Ознакомиться")</f>
        <v>Ознакомиться</v>
      </c>
      <c r="W744" s="8" t="s">
        <v>107</v>
      </c>
      <c r="X744" s="6"/>
      <c r="Y744" s="6"/>
      <c r="Z744" s="6"/>
      <c r="AA744" s="6" t="s">
        <v>289</v>
      </c>
    </row>
    <row r="745" spans="1:27" s="4" customFormat="1" ht="51.95" customHeight="1">
      <c r="A745" s="5">
        <v>0</v>
      </c>
      <c r="B745" s="6" t="s">
        <v>4165</v>
      </c>
      <c r="C745" s="13">
        <v>2360</v>
      </c>
      <c r="D745" s="8" t="s">
        <v>4166</v>
      </c>
      <c r="E745" s="8" t="s">
        <v>4167</v>
      </c>
      <c r="F745" s="8" t="s">
        <v>4168</v>
      </c>
      <c r="G745" s="6" t="s">
        <v>58</v>
      </c>
      <c r="H745" s="6" t="s">
        <v>38</v>
      </c>
      <c r="I745" s="8"/>
      <c r="J745" s="9">
        <v>1</v>
      </c>
      <c r="K745" s="9">
        <v>592</v>
      </c>
      <c r="L745" s="9">
        <v>2023</v>
      </c>
      <c r="M745" s="8" t="s">
        <v>4169</v>
      </c>
      <c r="N745" s="8" t="s">
        <v>40</v>
      </c>
      <c r="O745" s="8" t="s">
        <v>41</v>
      </c>
      <c r="P745" s="6" t="s">
        <v>75</v>
      </c>
      <c r="Q745" s="8" t="s">
        <v>76</v>
      </c>
      <c r="R745" s="10" t="s">
        <v>235</v>
      </c>
      <c r="S745" s="11"/>
      <c r="T745" s="6"/>
      <c r="U745" s="28" t="str">
        <f>HYPERLINK("https://media.infra-m.ru/2018/2018245/cover/2018245.jpg", "Обложка")</f>
        <v>Обложка</v>
      </c>
      <c r="V745" s="28" t="str">
        <f>HYPERLINK("https://znanium.com/catalog/product/2018245", "Ознакомиться")</f>
        <v>Ознакомиться</v>
      </c>
      <c r="W745" s="8" t="s">
        <v>700</v>
      </c>
      <c r="X745" s="6"/>
      <c r="Y745" s="6"/>
      <c r="Z745" s="6"/>
      <c r="AA745" s="6" t="s">
        <v>2976</v>
      </c>
    </row>
    <row r="746" spans="1:27" s="4" customFormat="1" ht="51.95" customHeight="1">
      <c r="A746" s="5">
        <v>0</v>
      </c>
      <c r="B746" s="6" t="s">
        <v>4170</v>
      </c>
      <c r="C746" s="13">
        <v>1134.4000000000001</v>
      </c>
      <c r="D746" s="8" t="s">
        <v>4171</v>
      </c>
      <c r="E746" s="8" t="s">
        <v>4172</v>
      </c>
      <c r="F746" s="8" t="s">
        <v>4173</v>
      </c>
      <c r="G746" s="6" t="s">
        <v>51</v>
      </c>
      <c r="H746" s="6" t="s">
        <v>38</v>
      </c>
      <c r="I746" s="8"/>
      <c r="J746" s="9">
        <v>1</v>
      </c>
      <c r="K746" s="9">
        <v>240</v>
      </c>
      <c r="L746" s="9">
        <v>2024</v>
      </c>
      <c r="M746" s="8" t="s">
        <v>4174</v>
      </c>
      <c r="N746" s="8" t="s">
        <v>40</v>
      </c>
      <c r="O746" s="8" t="s">
        <v>41</v>
      </c>
      <c r="P746" s="6" t="s">
        <v>75</v>
      </c>
      <c r="Q746" s="8" t="s">
        <v>76</v>
      </c>
      <c r="R746" s="10" t="s">
        <v>1579</v>
      </c>
      <c r="S746" s="11" t="s">
        <v>4175</v>
      </c>
      <c r="T746" s="6"/>
      <c r="U746" s="12"/>
      <c r="V746" s="28" t="str">
        <f>HYPERLINK("https://znanium.com/catalog/product/978519", "Ознакомиться")</f>
        <v>Ознакомиться</v>
      </c>
      <c r="W746" s="8" t="s">
        <v>4176</v>
      </c>
      <c r="X746" s="6"/>
      <c r="Y746" s="6"/>
      <c r="Z746" s="6"/>
      <c r="AA746" s="6" t="s">
        <v>3275</v>
      </c>
    </row>
    <row r="747" spans="1:27" s="4" customFormat="1" ht="51.95" customHeight="1">
      <c r="A747" s="5">
        <v>0</v>
      </c>
      <c r="B747" s="6" t="s">
        <v>4177</v>
      </c>
      <c r="C747" s="13">
        <v>1280</v>
      </c>
      <c r="D747" s="8" t="s">
        <v>4178</v>
      </c>
      <c r="E747" s="8" t="s">
        <v>4179</v>
      </c>
      <c r="F747" s="8" t="s">
        <v>4180</v>
      </c>
      <c r="G747" s="6" t="s">
        <v>37</v>
      </c>
      <c r="H747" s="6" t="s">
        <v>84</v>
      </c>
      <c r="I747" s="8" t="s">
        <v>93</v>
      </c>
      <c r="J747" s="9">
        <v>1</v>
      </c>
      <c r="K747" s="9">
        <v>213</v>
      </c>
      <c r="L747" s="9">
        <v>2023</v>
      </c>
      <c r="M747" s="8" t="s">
        <v>4181</v>
      </c>
      <c r="N747" s="8" t="s">
        <v>40</v>
      </c>
      <c r="O747" s="8" t="s">
        <v>41</v>
      </c>
      <c r="P747" s="6" t="s">
        <v>95</v>
      </c>
      <c r="Q747" s="8" t="s">
        <v>96</v>
      </c>
      <c r="R747" s="10" t="s">
        <v>2988</v>
      </c>
      <c r="S747" s="11" t="s">
        <v>4182</v>
      </c>
      <c r="T747" s="6"/>
      <c r="U747" s="28" t="str">
        <f>HYPERLINK("https://media.infra-m.ru/2063/2063312/cover/2063312.jpg", "Обложка")</f>
        <v>Обложка</v>
      </c>
      <c r="V747" s="28" t="str">
        <f>HYPERLINK("https://znanium.com/catalog/product/1845926", "Ознакомиться")</f>
        <v>Ознакомиться</v>
      </c>
      <c r="W747" s="8" t="s">
        <v>4183</v>
      </c>
      <c r="X747" s="6"/>
      <c r="Y747" s="6"/>
      <c r="Z747" s="6"/>
      <c r="AA747" s="6" t="s">
        <v>408</v>
      </c>
    </row>
    <row r="748" spans="1:27" s="4" customFormat="1" ht="51.95" customHeight="1">
      <c r="A748" s="5">
        <v>0</v>
      </c>
      <c r="B748" s="6" t="s">
        <v>4184</v>
      </c>
      <c r="C748" s="13">
        <v>2024</v>
      </c>
      <c r="D748" s="8" t="s">
        <v>4185</v>
      </c>
      <c r="E748" s="8" t="s">
        <v>4186</v>
      </c>
      <c r="F748" s="8" t="s">
        <v>4187</v>
      </c>
      <c r="G748" s="6" t="s">
        <v>58</v>
      </c>
      <c r="H748" s="6" t="s">
        <v>38</v>
      </c>
      <c r="I748" s="8"/>
      <c r="J748" s="9">
        <v>1</v>
      </c>
      <c r="K748" s="9">
        <v>448</v>
      </c>
      <c r="L748" s="9">
        <v>2024</v>
      </c>
      <c r="M748" s="8" t="s">
        <v>4188</v>
      </c>
      <c r="N748" s="8" t="s">
        <v>40</v>
      </c>
      <c r="O748" s="8" t="s">
        <v>41</v>
      </c>
      <c r="P748" s="6" t="s">
        <v>95</v>
      </c>
      <c r="Q748" s="8" t="s">
        <v>76</v>
      </c>
      <c r="R748" s="10" t="s">
        <v>558</v>
      </c>
      <c r="S748" s="11"/>
      <c r="T748" s="6"/>
      <c r="U748" s="28" t="str">
        <f>HYPERLINK("https://media.infra-m.ru/2044/2044252/cover/2044252.jpg", "Обложка")</f>
        <v>Обложка</v>
      </c>
      <c r="V748" s="28" t="str">
        <f>HYPERLINK("https://znanium.com/catalog/product/1850696", "Ознакомиться")</f>
        <v>Ознакомиться</v>
      </c>
      <c r="W748" s="8" t="s">
        <v>114</v>
      </c>
      <c r="X748" s="6"/>
      <c r="Y748" s="6"/>
      <c r="Z748" s="6"/>
      <c r="AA748" s="6" t="s">
        <v>719</v>
      </c>
    </row>
    <row r="749" spans="1:27" s="4" customFormat="1" ht="44.1" customHeight="1">
      <c r="A749" s="5">
        <v>0</v>
      </c>
      <c r="B749" s="6" t="s">
        <v>4189</v>
      </c>
      <c r="C749" s="7">
        <v>750</v>
      </c>
      <c r="D749" s="8" t="s">
        <v>4190</v>
      </c>
      <c r="E749" s="8" t="s">
        <v>4191</v>
      </c>
      <c r="F749" s="8" t="s">
        <v>4192</v>
      </c>
      <c r="G749" s="6" t="s">
        <v>37</v>
      </c>
      <c r="H749" s="6" t="s">
        <v>38</v>
      </c>
      <c r="I749" s="8"/>
      <c r="J749" s="9">
        <v>1</v>
      </c>
      <c r="K749" s="9">
        <v>152</v>
      </c>
      <c r="L749" s="9">
        <v>2022</v>
      </c>
      <c r="M749" s="8" t="s">
        <v>4193</v>
      </c>
      <c r="N749" s="8" t="s">
        <v>40</v>
      </c>
      <c r="O749" s="8" t="s">
        <v>41</v>
      </c>
      <c r="P749" s="6" t="s">
        <v>75</v>
      </c>
      <c r="Q749" s="8" t="s">
        <v>76</v>
      </c>
      <c r="R749" s="10" t="s">
        <v>2044</v>
      </c>
      <c r="S749" s="11"/>
      <c r="T749" s="6"/>
      <c r="U749" s="28" t="str">
        <f>HYPERLINK("https://media.infra-m.ru/1870/1870402/cover/1870402.jpg", "Обложка")</f>
        <v>Обложка</v>
      </c>
      <c r="V749" s="28" t="str">
        <f>HYPERLINK("https://znanium.com/catalog/product/1845291", "Ознакомиться")</f>
        <v>Ознакомиться</v>
      </c>
      <c r="W749" s="8" t="s">
        <v>3659</v>
      </c>
      <c r="X749" s="6"/>
      <c r="Y749" s="6"/>
      <c r="Z749" s="6"/>
      <c r="AA749" s="6" t="s">
        <v>343</v>
      </c>
    </row>
    <row r="750" spans="1:27" s="4" customFormat="1" ht="42" customHeight="1">
      <c r="A750" s="5">
        <v>0</v>
      </c>
      <c r="B750" s="6" t="s">
        <v>4194</v>
      </c>
      <c r="C750" s="7">
        <v>854.9</v>
      </c>
      <c r="D750" s="8" t="s">
        <v>4195</v>
      </c>
      <c r="E750" s="8" t="s">
        <v>4196</v>
      </c>
      <c r="F750" s="8" t="s">
        <v>4197</v>
      </c>
      <c r="G750" s="6" t="s">
        <v>51</v>
      </c>
      <c r="H750" s="6" t="s">
        <v>84</v>
      </c>
      <c r="I750" s="8" t="s">
        <v>251</v>
      </c>
      <c r="J750" s="9">
        <v>1</v>
      </c>
      <c r="K750" s="9">
        <v>188</v>
      </c>
      <c r="L750" s="9">
        <v>2023</v>
      </c>
      <c r="M750" s="8" t="s">
        <v>4198</v>
      </c>
      <c r="N750" s="8" t="s">
        <v>40</v>
      </c>
      <c r="O750" s="8" t="s">
        <v>41</v>
      </c>
      <c r="P750" s="6" t="s">
        <v>42</v>
      </c>
      <c r="Q750" s="8" t="s">
        <v>43</v>
      </c>
      <c r="R750" s="10" t="s">
        <v>1339</v>
      </c>
      <c r="S750" s="11"/>
      <c r="T750" s="6"/>
      <c r="U750" s="28" t="str">
        <f>HYPERLINK("https://media.infra-m.ru/1940/1940878/cover/1940878.jpg", "Обложка")</f>
        <v>Обложка</v>
      </c>
      <c r="V750" s="28" t="str">
        <f>HYPERLINK("https://znanium.com/catalog/product/1928401", "Ознакомиться")</f>
        <v>Ознакомиться</v>
      </c>
      <c r="W750" s="8" t="s">
        <v>3659</v>
      </c>
      <c r="X750" s="6"/>
      <c r="Y750" s="6"/>
      <c r="Z750" s="6"/>
      <c r="AA750" s="6" t="s">
        <v>62</v>
      </c>
    </row>
    <row r="751" spans="1:27" s="4" customFormat="1" ht="51.95" customHeight="1">
      <c r="A751" s="5">
        <v>0</v>
      </c>
      <c r="B751" s="6" t="s">
        <v>4199</v>
      </c>
      <c r="C751" s="13">
        <v>1004</v>
      </c>
      <c r="D751" s="8" t="s">
        <v>4200</v>
      </c>
      <c r="E751" s="8" t="s">
        <v>4201</v>
      </c>
      <c r="F751" s="8" t="s">
        <v>4202</v>
      </c>
      <c r="G751" s="6" t="s">
        <v>51</v>
      </c>
      <c r="H751" s="6" t="s">
        <v>84</v>
      </c>
      <c r="I751" s="8" t="s">
        <v>251</v>
      </c>
      <c r="J751" s="9">
        <v>1</v>
      </c>
      <c r="K751" s="9">
        <v>219</v>
      </c>
      <c r="L751" s="9">
        <v>2024</v>
      </c>
      <c r="M751" s="8" t="s">
        <v>4203</v>
      </c>
      <c r="N751" s="8" t="s">
        <v>40</v>
      </c>
      <c r="O751" s="8" t="s">
        <v>41</v>
      </c>
      <c r="P751" s="6" t="s">
        <v>42</v>
      </c>
      <c r="Q751" s="8" t="s">
        <v>43</v>
      </c>
      <c r="R751" s="10" t="s">
        <v>4204</v>
      </c>
      <c r="S751" s="11"/>
      <c r="T751" s="6"/>
      <c r="U751" s="28" t="str">
        <f>HYPERLINK("https://media.infra-m.ru/2079/2079650/cover/2079650.jpg", "Обложка")</f>
        <v>Обложка</v>
      </c>
      <c r="V751" s="28" t="str">
        <f>HYPERLINK("https://znanium.com/catalog/product/1870598", "Ознакомиться")</f>
        <v>Ознакомиться</v>
      </c>
      <c r="W751" s="8" t="s">
        <v>3659</v>
      </c>
      <c r="X751" s="6"/>
      <c r="Y751" s="6"/>
      <c r="Z751" s="6"/>
      <c r="AA751" s="6" t="s">
        <v>343</v>
      </c>
    </row>
    <row r="752" spans="1:27" s="4" customFormat="1" ht="51.95" customHeight="1">
      <c r="A752" s="5">
        <v>0</v>
      </c>
      <c r="B752" s="6" t="s">
        <v>4205</v>
      </c>
      <c r="C752" s="7">
        <v>960</v>
      </c>
      <c r="D752" s="8" t="s">
        <v>4206</v>
      </c>
      <c r="E752" s="8" t="s">
        <v>4207</v>
      </c>
      <c r="F752" s="8" t="s">
        <v>1565</v>
      </c>
      <c r="G752" s="6" t="s">
        <v>58</v>
      </c>
      <c r="H752" s="6" t="s">
        <v>84</v>
      </c>
      <c r="I752" s="8" t="s">
        <v>93</v>
      </c>
      <c r="J752" s="9">
        <v>1</v>
      </c>
      <c r="K752" s="9">
        <v>198</v>
      </c>
      <c r="L752" s="9">
        <v>2023</v>
      </c>
      <c r="M752" s="8" t="s">
        <v>4208</v>
      </c>
      <c r="N752" s="8" t="s">
        <v>40</v>
      </c>
      <c r="O752" s="8" t="s">
        <v>41</v>
      </c>
      <c r="P752" s="6" t="s">
        <v>75</v>
      </c>
      <c r="Q752" s="8" t="s">
        <v>96</v>
      </c>
      <c r="R752" s="10" t="s">
        <v>4209</v>
      </c>
      <c r="S752" s="11" t="s">
        <v>4210</v>
      </c>
      <c r="T752" s="6"/>
      <c r="U752" s="28" t="str">
        <f>HYPERLINK("https://media.infra-m.ru/1866/1866814/cover/1866814.jpg", "Обложка")</f>
        <v>Обложка</v>
      </c>
      <c r="V752" s="28" t="str">
        <f>HYPERLINK("https://znanium.com/catalog/product/1866814", "Ознакомиться")</f>
        <v>Ознакомиться</v>
      </c>
      <c r="W752" s="8" t="s">
        <v>1568</v>
      </c>
      <c r="X752" s="6" t="s">
        <v>645</v>
      </c>
      <c r="Y752" s="6"/>
      <c r="Z752" s="6"/>
      <c r="AA752" s="6" t="s">
        <v>408</v>
      </c>
    </row>
    <row r="753" spans="1:27" s="4" customFormat="1" ht="51.95" customHeight="1">
      <c r="A753" s="5">
        <v>0</v>
      </c>
      <c r="B753" s="6" t="s">
        <v>4211</v>
      </c>
      <c r="C753" s="7">
        <v>770</v>
      </c>
      <c r="D753" s="8" t="s">
        <v>4212</v>
      </c>
      <c r="E753" s="8" t="s">
        <v>4213</v>
      </c>
      <c r="F753" s="8" t="s">
        <v>4214</v>
      </c>
      <c r="G753" s="6" t="s">
        <v>51</v>
      </c>
      <c r="H753" s="6" t="s">
        <v>84</v>
      </c>
      <c r="I753" s="8" t="s">
        <v>85</v>
      </c>
      <c r="J753" s="9">
        <v>1</v>
      </c>
      <c r="K753" s="9">
        <v>225</v>
      </c>
      <c r="L753" s="9">
        <v>2019</v>
      </c>
      <c r="M753" s="8" t="s">
        <v>4215</v>
      </c>
      <c r="N753" s="8" t="s">
        <v>40</v>
      </c>
      <c r="O753" s="8" t="s">
        <v>41</v>
      </c>
      <c r="P753" s="6" t="s">
        <v>811</v>
      </c>
      <c r="Q753" s="8" t="s">
        <v>43</v>
      </c>
      <c r="R753" s="10" t="s">
        <v>310</v>
      </c>
      <c r="S753" s="11"/>
      <c r="T753" s="6"/>
      <c r="U753" s="28" t="str">
        <f>HYPERLINK("https://media.infra-m.ru/1002/1002084/cover/1002084.jpg", "Обложка")</f>
        <v>Обложка</v>
      </c>
      <c r="V753" s="28" t="str">
        <f>HYPERLINK("https://znanium.com/catalog/product/1002084", "Ознакомиться")</f>
        <v>Ознакомиться</v>
      </c>
      <c r="W753" s="8" t="s">
        <v>45</v>
      </c>
      <c r="X753" s="6"/>
      <c r="Y753" s="6"/>
      <c r="Z753" s="6"/>
      <c r="AA753" s="6" t="s">
        <v>422</v>
      </c>
    </row>
    <row r="754" spans="1:27" s="4" customFormat="1" ht="51.95" customHeight="1">
      <c r="A754" s="5">
        <v>0</v>
      </c>
      <c r="B754" s="6" t="s">
        <v>4216</v>
      </c>
      <c r="C754" s="7">
        <v>690</v>
      </c>
      <c r="D754" s="8" t="s">
        <v>4217</v>
      </c>
      <c r="E754" s="8" t="s">
        <v>4218</v>
      </c>
      <c r="F754" s="8" t="s">
        <v>4219</v>
      </c>
      <c r="G754" s="6" t="s">
        <v>51</v>
      </c>
      <c r="H754" s="6" t="s">
        <v>38</v>
      </c>
      <c r="I754" s="8"/>
      <c r="J754" s="9">
        <v>1</v>
      </c>
      <c r="K754" s="9">
        <v>144</v>
      </c>
      <c r="L754" s="9">
        <v>2023</v>
      </c>
      <c r="M754" s="8" t="s">
        <v>4220</v>
      </c>
      <c r="N754" s="8" t="s">
        <v>40</v>
      </c>
      <c r="O754" s="8" t="s">
        <v>41</v>
      </c>
      <c r="P754" s="6" t="s">
        <v>42</v>
      </c>
      <c r="Q754" s="8" t="s">
        <v>43</v>
      </c>
      <c r="R754" s="10" t="s">
        <v>4221</v>
      </c>
      <c r="S754" s="11"/>
      <c r="T754" s="6"/>
      <c r="U754" s="28" t="str">
        <f>HYPERLINK("https://media.infra-m.ru/1874/1874021/cover/1874021.jpg", "Обложка")</f>
        <v>Обложка</v>
      </c>
      <c r="V754" s="28" t="str">
        <f>HYPERLINK("https://znanium.com/catalog/product/1874021", "Ознакомиться")</f>
        <v>Ознакомиться</v>
      </c>
      <c r="W754" s="8" t="s">
        <v>78</v>
      </c>
      <c r="X754" s="6"/>
      <c r="Y754" s="6"/>
      <c r="Z754" s="6"/>
      <c r="AA754" s="6" t="s">
        <v>88</v>
      </c>
    </row>
    <row r="755" spans="1:27" s="4" customFormat="1" ht="51.95" customHeight="1">
      <c r="A755" s="5">
        <v>0</v>
      </c>
      <c r="B755" s="6" t="s">
        <v>4222</v>
      </c>
      <c r="C755" s="7">
        <v>524</v>
      </c>
      <c r="D755" s="8" t="s">
        <v>4223</v>
      </c>
      <c r="E755" s="8" t="s">
        <v>4213</v>
      </c>
      <c r="F755" s="8" t="s">
        <v>4224</v>
      </c>
      <c r="G755" s="6" t="s">
        <v>51</v>
      </c>
      <c r="H755" s="6" t="s">
        <v>38</v>
      </c>
      <c r="I755" s="8"/>
      <c r="J755" s="9">
        <v>1</v>
      </c>
      <c r="K755" s="9">
        <v>112</v>
      </c>
      <c r="L755" s="9">
        <v>2023</v>
      </c>
      <c r="M755" s="8" t="s">
        <v>4225</v>
      </c>
      <c r="N755" s="8" t="s">
        <v>40</v>
      </c>
      <c r="O755" s="8" t="s">
        <v>41</v>
      </c>
      <c r="P755" s="6" t="s">
        <v>75</v>
      </c>
      <c r="Q755" s="8" t="s">
        <v>157</v>
      </c>
      <c r="R755" s="10" t="s">
        <v>4226</v>
      </c>
      <c r="S755" s="11"/>
      <c r="T755" s="6"/>
      <c r="U755" s="28" t="str">
        <f>HYPERLINK("https://media.infra-m.ru/2006/2006914/cover/2006914.jpg", "Обложка")</f>
        <v>Обложка</v>
      </c>
      <c r="V755" s="28" t="str">
        <f>HYPERLINK("https://znanium.com/catalog/product/990003", "Ознакомиться")</f>
        <v>Ознакомиться</v>
      </c>
      <c r="W755" s="8" t="s">
        <v>114</v>
      </c>
      <c r="X755" s="6"/>
      <c r="Y755" s="6"/>
      <c r="Z755" s="6"/>
      <c r="AA755" s="6" t="s">
        <v>46</v>
      </c>
    </row>
    <row r="756" spans="1:27" s="4" customFormat="1" ht="44.1" customHeight="1">
      <c r="A756" s="5">
        <v>0</v>
      </c>
      <c r="B756" s="6" t="s">
        <v>4227</v>
      </c>
      <c r="C756" s="7">
        <v>810</v>
      </c>
      <c r="D756" s="8" t="s">
        <v>4228</v>
      </c>
      <c r="E756" s="8" t="s">
        <v>4229</v>
      </c>
      <c r="F756" s="8" t="s">
        <v>4230</v>
      </c>
      <c r="G756" s="6" t="s">
        <v>37</v>
      </c>
      <c r="H756" s="6" t="s">
        <v>84</v>
      </c>
      <c r="I756" s="8" t="s">
        <v>251</v>
      </c>
      <c r="J756" s="9">
        <v>1</v>
      </c>
      <c r="K756" s="9">
        <v>229</v>
      </c>
      <c r="L756" s="9">
        <v>2020</v>
      </c>
      <c r="M756" s="8" t="s">
        <v>4231</v>
      </c>
      <c r="N756" s="8" t="s">
        <v>40</v>
      </c>
      <c r="O756" s="8" t="s">
        <v>41</v>
      </c>
      <c r="P756" s="6" t="s">
        <v>42</v>
      </c>
      <c r="Q756" s="8" t="s">
        <v>43</v>
      </c>
      <c r="R756" s="10" t="s">
        <v>4232</v>
      </c>
      <c r="S756" s="11"/>
      <c r="T756" s="6"/>
      <c r="U756" s="28" t="str">
        <f>HYPERLINK("https://media.infra-m.ru/1043/1043082/cover/1043082.jpg", "Обложка")</f>
        <v>Обложка</v>
      </c>
      <c r="V756" s="28" t="str">
        <f>HYPERLINK("https://znanium.com/catalog/product/1043082", "Ознакомиться")</f>
        <v>Ознакомиться</v>
      </c>
      <c r="W756" s="8" t="s">
        <v>107</v>
      </c>
      <c r="X756" s="6"/>
      <c r="Y756" s="6"/>
      <c r="Z756" s="6"/>
      <c r="AA756" s="6" t="s">
        <v>422</v>
      </c>
    </row>
    <row r="757" spans="1:27" s="4" customFormat="1" ht="44.1" customHeight="1">
      <c r="A757" s="5">
        <v>0</v>
      </c>
      <c r="B757" s="6" t="s">
        <v>4233</v>
      </c>
      <c r="C757" s="13">
        <v>1400</v>
      </c>
      <c r="D757" s="8" t="s">
        <v>4234</v>
      </c>
      <c r="E757" s="8" t="s">
        <v>4235</v>
      </c>
      <c r="F757" s="8" t="s">
        <v>4236</v>
      </c>
      <c r="G757" s="6" t="s">
        <v>51</v>
      </c>
      <c r="H757" s="6" t="s">
        <v>84</v>
      </c>
      <c r="I757" s="8" t="s">
        <v>85</v>
      </c>
      <c r="J757" s="9">
        <v>1</v>
      </c>
      <c r="K757" s="9">
        <v>312</v>
      </c>
      <c r="L757" s="9">
        <v>2023</v>
      </c>
      <c r="M757" s="8" t="s">
        <v>4237</v>
      </c>
      <c r="N757" s="8" t="s">
        <v>40</v>
      </c>
      <c r="O757" s="8" t="s">
        <v>41</v>
      </c>
      <c r="P757" s="6" t="s">
        <v>811</v>
      </c>
      <c r="Q757" s="8" t="s">
        <v>43</v>
      </c>
      <c r="R757" s="10" t="s">
        <v>1680</v>
      </c>
      <c r="S757" s="11"/>
      <c r="T757" s="6"/>
      <c r="U757" s="28" t="str">
        <f>HYPERLINK("https://media.infra-m.ru/1900/1900994/cover/1900994.jpg", "Обложка")</f>
        <v>Обложка</v>
      </c>
      <c r="V757" s="28" t="str">
        <f>HYPERLINK("https://znanium.com/catalog/product/1900994", "Ознакомиться")</f>
        <v>Ознакомиться</v>
      </c>
      <c r="W757" s="8" t="s">
        <v>45</v>
      </c>
      <c r="X757" s="6"/>
      <c r="Y757" s="6"/>
      <c r="Z757" s="6"/>
      <c r="AA757" s="6" t="s">
        <v>148</v>
      </c>
    </row>
    <row r="758" spans="1:27" s="4" customFormat="1" ht="42" customHeight="1">
      <c r="A758" s="5">
        <v>0</v>
      </c>
      <c r="B758" s="6" t="s">
        <v>4238</v>
      </c>
      <c r="C758" s="13">
        <v>1094.9000000000001</v>
      </c>
      <c r="D758" s="8" t="s">
        <v>4239</v>
      </c>
      <c r="E758" s="8" t="s">
        <v>4240</v>
      </c>
      <c r="F758" s="8" t="s">
        <v>4241</v>
      </c>
      <c r="G758" s="6" t="s">
        <v>51</v>
      </c>
      <c r="H758" s="6" t="s">
        <v>84</v>
      </c>
      <c r="I758" s="8" t="s">
        <v>85</v>
      </c>
      <c r="J758" s="9">
        <v>1</v>
      </c>
      <c r="K758" s="9">
        <v>352</v>
      </c>
      <c r="L758" s="9">
        <v>2018</v>
      </c>
      <c r="M758" s="8" t="s">
        <v>4242</v>
      </c>
      <c r="N758" s="8" t="s">
        <v>40</v>
      </c>
      <c r="O758" s="8" t="s">
        <v>41</v>
      </c>
      <c r="P758" s="6" t="s">
        <v>42</v>
      </c>
      <c r="Q758" s="8" t="s">
        <v>43</v>
      </c>
      <c r="R758" s="10" t="s">
        <v>304</v>
      </c>
      <c r="S758" s="11"/>
      <c r="T758" s="6"/>
      <c r="U758" s="28" t="str">
        <f>HYPERLINK("https://media.infra-m.ru/0942/0942224/cover/942224.jpg", "Обложка")</f>
        <v>Обложка</v>
      </c>
      <c r="V758" s="28" t="str">
        <f>HYPERLINK("https://znanium.com/catalog/product/942224", "Ознакомиться")</f>
        <v>Ознакомиться</v>
      </c>
      <c r="W758" s="8" t="s">
        <v>3410</v>
      </c>
      <c r="X758" s="6"/>
      <c r="Y758" s="6"/>
      <c r="Z758" s="6"/>
      <c r="AA758" s="6" t="s">
        <v>327</v>
      </c>
    </row>
    <row r="759" spans="1:27" s="4" customFormat="1" ht="44.1" customHeight="1">
      <c r="A759" s="5">
        <v>0</v>
      </c>
      <c r="B759" s="6" t="s">
        <v>4243</v>
      </c>
      <c r="C759" s="7">
        <v>800</v>
      </c>
      <c r="D759" s="8" t="s">
        <v>4244</v>
      </c>
      <c r="E759" s="8" t="s">
        <v>4245</v>
      </c>
      <c r="F759" s="8" t="s">
        <v>4246</v>
      </c>
      <c r="G759" s="6" t="s">
        <v>37</v>
      </c>
      <c r="H759" s="6" t="s">
        <v>84</v>
      </c>
      <c r="I759" s="8" t="s">
        <v>85</v>
      </c>
      <c r="J759" s="9">
        <v>1</v>
      </c>
      <c r="K759" s="9">
        <v>234</v>
      </c>
      <c r="L759" s="9">
        <v>2022</v>
      </c>
      <c r="M759" s="8" t="s">
        <v>4247</v>
      </c>
      <c r="N759" s="8" t="s">
        <v>40</v>
      </c>
      <c r="O759" s="8" t="s">
        <v>41</v>
      </c>
      <c r="P759" s="6" t="s">
        <v>42</v>
      </c>
      <c r="Q759" s="8" t="s">
        <v>296</v>
      </c>
      <c r="R759" s="10" t="s">
        <v>1339</v>
      </c>
      <c r="S759" s="11"/>
      <c r="T759" s="6"/>
      <c r="U759" s="28" t="str">
        <f>HYPERLINK("https://media.infra-m.ru/1740/1740082/cover/1740082.jpg", "Обложка")</f>
        <v>Обложка</v>
      </c>
      <c r="V759" s="28" t="str">
        <f>HYPERLINK("https://znanium.com/catalog/product/1740082", "Ознакомиться")</f>
        <v>Ознакомиться</v>
      </c>
      <c r="W759" s="8" t="s">
        <v>45</v>
      </c>
      <c r="X759" s="6"/>
      <c r="Y759" s="6"/>
      <c r="Z759" s="6"/>
      <c r="AA759" s="6" t="s">
        <v>298</v>
      </c>
    </row>
    <row r="760" spans="1:27" s="4" customFormat="1" ht="51.95" customHeight="1">
      <c r="A760" s="5">
        <v>0</v>
      </c>
      <c r="B760" s="6" t="s">
        <v>4248</v>
      </c>
      <c r="C760" s="13">
        <v>1154.9000000000001</v>
      </c>
      <c r="D760" s="8" t="s">
        <v>4249</v>
      </c>
      <c r="E760" s="8" t="s">
        <v>4250</v>
      </c>
      <c r="F760" s="8" t="s">
        <v>4251</v>
      </c>
      <c r="G760" s="6" t="s">
        <v>58</v>
      </c>
      <c r="H760" s="6" t="s">
        <v>1247</v>
      </c>
      <c r="I760" s="8"/>
      <c r="J760" s="9">
        <v>1</v>
      </c>
      <c r="K760" s="9">
        <v>253</v>
      </c>
      <c r="L760" s="9">
        <v>2023</v>
      </c>
      <c r="M760" s="8" t="s">
        <v>4252</v>
      </c>
      <c r="N760" s="8" t="s">
        <v>40</v>
      </c>
      <c r="O760" s="8" t="s">
        <v>41</v>
      </c>
      <c r="P760" s="6" t="s">
        <v>75</v>
      </c>
      <c r="Q760" s="8" t="s">
        <v>76</v>
      </c>
      <c r="R760" s="10" t="s">
        <v>558</v>
      </c>
      <c r="S760" s="11"/>
      <c r="T760" s="6"/>
      <c r="U760" s="28" t="str">
        <f>HYPERLINK("https://media.infra-m.ru/1874/1874032/cover/1874032.jpg", "Обложка")</f>
        <v>Обложка</v>
      </c>
      <c r="V760" s="28" t="str">
        <f>HYPERLINK("https://znanium.com/catalog/product/1238946", "Ознакомиться")</f>
        <v>Ознакомиться</v>
      </c>
      <c r="W760" s="8" t="s">
        <v>3770</v>
      </c>
      <c r="X760" s="6"/>
      <c r="Y760" s="6"/>
      <c r="Z760" s="6"/>
      <c r="AA760" s="6" t="s">
        <v>298</v>
      </c>
    </row>
    <row r="761" spans="1:27" s="4" customFormat="1" ht="51.95" customHeight="1">
      <c r="A761" s="5">
        <v>0</v>
      </c>
      <c r="B761" s="6" t="s">
        <v>4253</v>
      </c>
      <c r="C761" s="13">
        <v>1124</v>
      </c>
      <c r="D761" s="8" t="s">
        <v>4254</v>
      </c>
      <c r="E761" s="8" t="s">
        <v>4250</v>
      </c>
      <c r="F761" s="8" t="s">
        <v>4251</v>
      </c>
      <c r="G761" s="6" t="s">
        <v>58</v>
      </c>
      <c r="H761" s="6" t="s">
        <v>1247</v>
      </c>
      <c r="I761" s="8" t="s">
        <v>93</v>
      </c>
      <c r="J761" s="9">
        <v>1</v>
      </c>
      <c r="K761" s="9">
        <v>251</v>
      </c>
      <c r="L761" s="9">
        <v>2023</v>
      </c>
      <c r="M761" s="8" t="s">
        <v>4255</v>
      </c>
      <c r="N761" s="8" t="s">
        <v>40</v>
      </c>
      <c r="O761" s="8" t="s">
        <v>41</v>
      </c>
      <c r="P761" s="6" t="s">
        <v>75</v>
      </c>
      <c r="Q761" s="8" t="s">
        <v>96</v>
      </c>
      <c r="R761" s="10" t="s">
        <v>2988</v>
      </c>
      <c r="S761" s="11" t="s">
        <v>4256</v>
      </c>
      <c r="T761" s="6"/>
      <c r="U761" s="28" t="str">
        <f>HYPERLINK("https://media.infra-m.ru/1976/1976146/cover/1976146.jpg", "Обложка")</f>
        <v>Обложка</v>
      </c>
      <c r="V761" s="28" t="str">
        <f>HYPERLINK("https://znanium.com/catalog/product/1017710", "Ознакомиться")</f>
        <v>Ознакомиться</v>
      </c>
      <c r="W761" s="8" t="s">
        <v>3770</v>
      </c>
      <c r="X761" s="6"/>
      <c r="Y761" s="6"/>
      <c r="Z761" s="6" t="s">
        <v>136</v>
      </c>
      <c r="AA761" s="6" t="s">
        <v>79</v>
      </c>
    </row>
    <row r="762" spans="1:27" s="4" customFormat="1" ht="51.95" customHeight="1">
      <c r="A762" s="5">
        <v>0</v>
      </c>
      <c r="B762" s="6" t="s">
        <v>4257</v>
      </c>
      <c r="C762" s="7">
        <v>790</v>
      </c>
      <c r="D762" s="8" t="s">
        <v>4258</v>
      </c>
      <c r="E762" s="8" t="s">
        <v>4259</v>
      </c>
      <c r="F762" s="8" t="s">
        <v>4260</v>
      </c>
      <c r="G762" s="6" t="s">
        <v>37</v>
      </c>
      <c r="H762" s="6" t="s">
        <v>84</v>
      </c>
      <c r="I762" s="8" t="s">
        <v>93</v>
      </c>
      <c r="J762" s="9">
        <v>1</v>
      </c>
      <c r="K762" s="9">
        <v>169</v>
      </c>
      <c r="L762" s="9">
        <v>2023</v>
      </c>
      <c r="M762" s="8" t="s">
        <v>4261</v>
      </c>
      <c r="N762" s="8" t="s">
        <v>40</v>
      </c>
      <c r="O762" s="8" t="s">
        <v>41</v>
      </c>
      <c r="P762" s="6" t="s">
        <v>75</v>
      </c>
      <c r="Q762" s="8" t="s">
        <v>96</v>
      </c>
      <c r="R762" s="10" t="s">
        <v>4262</v>
      </c>
      <c r="S762" s="11" t="s">
        <v>4263</v>
      </c>
      <c r="T762" s="6"/>
      <c r="U762" s="28" t="str">
        <f>HYPERLINK("https://media.infra-m.ru/2051/2051244/cover/2051244.jpg", "Обложка")</f>
        <v>Обложка</v>
      </c>
      <c r="V762" s="28" t="str">
        <f>HYPERLINK("https://znanium.com/catalog/product/1817478", "Ознакомиться")</f>
        <v>Ознакомиться</v>
      </c>
      <c r="W762" s="8" t="s">
        <v>4264</v>
      </c>
      <c r="X762" s="6"/>
      <c r="Y762" s="6"/>
      <c r="Z762" s="6"/>
      <c r="AA762" s="6" t="s">
        <v>137</v>
      </c>
    </row>
    <row r="763" spans="1:27" s="4" customFormat="1" ht="51.95" customHeight="1">
      <c r="A763" s="5">
        <v>0</v>
      </c>
      <c r="B763" s="6" t="s">
        <v>4265</v>
      </c>
      <c r="C763" s="7">
        <v>570</v>
      </c>
      <c r="D763" s="8" t="s">
        <v>4266</v>
      </c>
      <c r="E763" s="8" t="s">
        <v>4267</v>
      </c>
      <c r="F763" s="8" t="s">
        <v>4260</v>
      </c>
      <c r="G763" s="6" t="s">
        <v>51</v>
      </c>
      <c r="H763" s="6" t="s">
        <v>192</v>
      </c>
      <c r="I763" s="8" t="s">
        <v>93</v>
      </c>
      <c r="J763" s="9">
        <v>1</v>
      </c>
      <c r="K763" s="9">
        <v>125</v>
      </c>
      <c r="L763" s="9">
        <v>2021</v>
      </c>
      <c r="M763" s="8" t="s">
        <v>4268</v>
      </c>
      <c r="N763" s="8" t="s">
        <v>40</v>
      </c>
      <c r="O763" s="8" t="s">
        <v>41</v>
      </c>
      <c r="P763" s="6" t="s">
        <v>75</v>
      </c>
      <c r="Q763" s="8" t="s">
        <v>96</v>
      </c>
      <c r="R763" s="10" t="s">
        <v>4262</v>
      </c>
      <c r="S763" s="11" t="s">
        <v>4263</v>
      </c>
      <c r="T763" s="6"/>
      <c r="U763" s="28" t="str">
        <f>HYPERLINK("https://media.infra-m.ru/1948/1948229/cover/1948229.jpg", "Обложка")</f>
        <v>Обложка</v>
      </c>
      <c r="V763" s="28" t="str">
        <f>HYPERLINK("https://znanium.com/catalog/product/1817478", "Ознакомиться")</f>
        <v>Ознакомиться</v>
      </c>
      <c r="W763" s="8" t="s">
        <v>4264</v>
      </c>
      <c r="X763" s="6"/>
      <c r="Y763" s="6"/>
      <c r="Z763" s="6"/>
      <c r="AA763" s="6" t="s">
        <v>298</v>
      </c>
    </row>
    <row r="764" spans="1:27" s="4" customFormat="1" ht="42" customHeight="1">
      <c r="A764" s="5">
        <v>0</v>
      </c>
      <c r="B764" s="6" t="s">
        <v>4269</v>
      </c>
      <c r="C764" s="7">
        <v>650</v>
      </c>
      <c r="D764" s="8" t="s">
        <v>4270</v>
      </c>
      <c r="E764" s="8" t="s">
        <v>4271</v>
      </c>
      <c r="F764" s="8" t="s">
        <v>4272</v>
      </c>
      <c r="G764" s="6" t="s">
        <v>58</v>
      </c>
      <c r="H764" s="6" t="s">
        <v>84</v>
      </c>
      <c r="I764" s="8" t="s">
        <v>93</v>
      </c>
      <c r="J764" s="9">
        <v>1</v>
      </c>
      <c r="K764" s="9">
        <v>129</v>
      </c>
      <c r="L764" s="9">
        <v>2023</v>
      </c>
      <c r="M764" s="8" t="s">
        <v>4273</v>
      </c>
      <c r="N764" s="8" t="s">
        <v>40</v>
      </c>
      <c r="O764" s="8" t="s">
        <v>41</v>
      </c>
      <c r="P764" s="6" t="s">
        <v>75</v>
      </c>
      <c r="Q764" s="8" t="s">
        <v>96</v>
      </c>
      <c r="R764" s="10" t="s">
        <v>4274</v>
      </c>
      <c r="S764" s="11"/>
      <c r="T764" s="6"/>
      <c r="U764" s="28" t="str">
        <f>HYPERLINK("https://media.infra-m.ru/1860/1860506/cover/1860506.jpg", "Обложка")</f>
        <v>Обложка</v>
      </c>
      <c r="V764" s="28" t="str">
        <f>HYPERLINK("https://znanium.com/catalog/product/1860506", "Ознакомиться")</f>
        <v>Ознакомиться</v>
      </c>
      <c r="W764" s="8" t="s">
        <v>4275</v>
      </c>
      <c r="X764" s="6" t="s">
        <v>1600</v>
      </c>
      <c r="Y764" s="6"/>
      <c r="Z764" s="6"/>
      <c r="AA764" s="6" t="s">
        <v>408</v>
      </c>
    </row>
    <row r="765" spans="1:27" s="4" customFormat="1" ht="51.95" customHeight="1">
      <c r="A765" s="5">
        <v>0</v>
      </c>
      <c r="B765" s="6" t="s">
        <v>4276</v>
      </c>
      <c r="C765" s="13">
        <v>1080</v>
      </c>
      <c r="D765" s="8" t="s">
        <v>4277</v>
      </c>
      <c r="E765" s="8" t="s">
        <v>4278</v>
      </c>
      <c r="F765" s="8" t="s">
        <v>4279</v>
      </c>
      <c r="G765" s="6" t="s">
        <v>37</v>
      </c>
      <c r="H765" s="6" t="s">
        <v>192</v>
      </c>
      <c r="I765" s="8" t="s">
        <v>93</v>
      </c>
      <c r="J765" s="9">
        <v>1</v>
      </c>
      <c r="K765" s="9">
        <v>240</v>
      </c>
      <c r="L765" s="9">
        <v>2023</v>
      </c>
      <c r="M765" s="8" t="s">
        <v>4280</v>
      </c>
      <c r="N765" s="8" t="s">
        <v>40</v>
      </c>
      <c r="O765" s="8" t="s">
        <v>41</v>
      </c>
      <c r="P765" s="6" t="s">
        <v>75</v>
      </c>
      <c r="Q765" s="8" t="s">
        <v>96</v>
      </c>
      <c r="R765" s="10" t="s">
        <v>4281</v>
      </c>
      <c r="S765" s="11" t="s">
        <v>4282</v>
      </c>
      <c r="T765" s="6"/>
      <c r="U765" s="28" t="str">
        <f>HYPERLINK("https://media.infra-m.ru/1921/1921420/cover/1921420.jpg", "Обложка")</f>
        <v>Обложка</v>
      </c>
      <c r="V765" s="28" t="str">
        <f>HYPERLINK("https://znanium.com/catalog/product/1921420", "Ознакомиться")</f>
        <v>Ознакомиться</v>
      </c>
      <c r="W765" s="8" t="s">
        <v>4283</v>
      </c>
      <c r="X765" s="6"/>
      <c r="Y765" s="6"/>
      <c r="Z765" s="6"/>
      <c r="AA765" s="6" t="s">
        <v>706</v>
      </c>
    </row>
    <row r="766" spans="1:27" s="4" customFormat="1" ht="51.95" customHeight="1">
      <c r="A766" s="5">
        <v>0</v>
      </c>
      <c r="B766" s="6" t="s">
        <v>4284</v>
      </c>
      <c r="C766" s="7">
        <v>690</v>
      </c>
      <c r="D766" s="8" t="s">
        <v>4285</v>
      </c>
      <c r="E766" s="8" t="s">
        <v>4286</v>
      </c>
      <c r="F766" s="8" t="s">
        <v>4287</v>
      </c>
      <c r="G766" s="6" t="s">
        <v>51</v>
      </c>
      <c r="H766" s="6" t="s">
        <v>272</v>
      </c>
      <c r="I766" s="8" t="s">
        <v>120</v>
      </c>
      <c r="J766" s="9">
        <v>1</v>
      </c>
      <c r="K766" s="9">
        <v>143</v>
      </c>
      <c r="L766" s="9">
        <v>2023</v>
      </c>
      <c r="M766" s="8" t="s">
        <v>4288</v>
      </c>
      <c r="N766" s="8" t="s">
        <v>40</v>
      </c>
      <c r="O766" s="8" t="s">
        <v>41</v>
      </c>
      <c r="P766" s="6" t="s">
        <v>75</v>
      </c>
      <c r="Q766" s="8" t="s">
        <v>76</v>
      </c>
      <c r="R766" s="10" t="s">
        <v>4289</v>
      </c>
      <c r="S766" s="11" t="s">
        <v>4290</v>
      </c>
      <c r="T766" s="6" t="s">
        <v>368</v>
      </c>
      <c r="U766" s="28" t="str">
        <f>HYPERLINK("https://media.infra-m.ru/1898/1898494/cover/1898494.jpg", "Обложка")</f>
        <v>Обложка</v>
      </c>
      <c r="V766" s="28" t="str">
        <f>HYPERLINK("https://znanium.com/catalog/product/1898494", "Ознакомиться")</f>
        <v>Ознакомиться</v>
      </c>
      <c r="W766" s="8" t="s">
        <v>4291</v>
      </c>
      <c r="X766" s="6"/>
      <c r="Y766" s="6"/>
      <c r="Z766" s="6"/>
      <c r="AA766" s="6" t="s">
        <v>2442</v>
      </c>
    </row>
    <row r="767" spans="1:27" s="4" customFormat="1" ht="42" customHeight="1">
      <c r="A767" s="5">
        <v>0</v>
      </c>
      <c r="B767" s="6" t="s">
        <v>4292</v>
      </c>
      <c r="C767" s="7">
        <v>710</v>
      </c>
      <c r="D767" s="8" t="s">
        <v>4293</v>
      </c>
      <c r="E767" s="8" t="s">
        <v>4294</v>
      </c>
      <c r="F767" s="8" t="s">
        <v>4295</v>
      </c>
      <c r="G767" s="6" t="s">
        <v>51</v>
      </c>
      <c r="H767" s="6" t="s">
        <v>52</v>
      </c>
      <c r="I767" s="8" t="s">
        <v>4296</v>
      </c>
      <c r="J767" s="9">
        <v>1</v>
      </c>
      <c r="K767" s="9">
        <v>149</v>
      </c>
      <c r="L767" s="9">
        <v>2023</v>
      </c>
      <c r="M767" s="8" t="s">
        <v>4297</v>
      </c>
      <c r="N767" s="8" t="s">
        <v>40</v>
      </c>
      <c r="O767" s="8" t="s">
        <v>41</v>
      </c>
      <c r="P767" s="6" t="s">
        <v>4298</v>
      </c>
      <c r="Q767" s="8" t="s">
        <v>43</v>
      </c>
      <c r="R767" s="10" t="s">
        <v>4299</v>
      </c>
      <c r="S767" s="11"/>
      <c r="T767" s="6" t="s">
        <v>368</v>
      </c>
      <c r="U767" s="28" t="str">
        <f>HYPERLINK("https://media.infra-m.ru/1971/1971864/cover/1971864.jpg", "Обложка")</f>
        <v>Обложка</v>
      </c>
      <c r="V767" s="28" t="str">
        <f>HYPERLINK("https://znanium.com/catalog/product/1971864", "Ознакомиться")</f>
        <v>Ознакомиться</v>
      </c>
      <c r="W767" s="8" t="s">
        <v>4300</v>
      </c>
      <c r="X767" s="6" t="s">
        <v>4301</v>
      </c>
      <c r="Y767" s="6" t="s">
        <v>30</v>
      </c>
      <c r="Z767" s="6"/>
      <c r="AA767" s="6" t="s">
        <v>1193</v>
      </c>
    </row>
    <row r="768" spans="1:27" s="4" customFormat="1" ht="42" customHeight="1">
      <c r="A768" s="5">
        <v>0</v>
      </c>
      <c r="B768" s="6" t="s">
        <v>4302</v>
      </c>
      <c r="C768" s="7">
        <v>520</v>
      </c>
      <c r="D768" s="8" t="s">
        <v>4303</v>
      </c>
      <c r="E768" s="8" t="s">
        <v>4304</v>
      </c>
      <c r="F768" s="8" t="s">
        <v>4295</v>
      </c>
      <c r="G768" s="6" t="s">
        <v>51</v>
      </c>
      <c r="H768" s="6" t="s">
        <v>52</v>
      </c>
      <c r="I768" s="8" t="s">
        <v>4296</v>
      </c>
      <c r="J768" s="9">
        <v>1</v>
      </c>
      <c r="K768" s="9">
        <v>138</v>
      </c>
      <c r="L768" s="9">
        <v>2021</v>
      </c>
      <c r="M768" s="8" t="s">
        <v>4305</v>
      </c>
      <c r="N768" s="8" t="s">
        <v>40</v>
      </c>
      <c r="O768" s="8" t="s">
        <v>41</v>
      </c>
      <c r="P768" s="6" t="s">
        <v>4298</v>
      </c>
      <c r="Q768" s="8" t="s">
        <v>43</v>
      </c>
      <c r="R768" s="10" t="s">
        <v>4299</v>
      </c>
      <c r="S768" s="11"/>
      <c r="T768" s="6" t="s">
        <v>368</v>
      </c>
      <c r="U768" s="28" t="str">
        <f>HYPERLINK("https://media.infra-m.ru/1215/1215351/cover/1215351.jpg", "Обложка")</f>
        <v>Обложка</v>
      </c>
      <c r="V768" s="28" t="str">
        <f>HYPERLINK("https://znanium.com/catalog/product/1971864", "Ознакомиться")</f>
        <v>Ознакомиться</v>
      </c>
      <c r="W768" s="8" t="s">
        <v>4300</v>
      </c>
      <c r="X768" s="6"/>
      <c r="Y768" s="6" t="s">
        <v>30</v>
      </c>
      <c r="Z768" s="6"/>
      <c r="AA768" s="6" t="s">
        <v>640</v>
      </c>
    </row>
    <row r="769" spans="1:27" s="4" customFormat="1" ht="42" customHeight="1">
      <c r="A769" s="5">
        <v>0</v>
      </c>
      <c r="B769" s="6" t="s">
        <v>4306</v>
      </c>
      <c r="C769" s="7">
        <v>700</v>
      </c>
      <c r="D769" s="8" t="s">
        <v>4307</v>
      </c>
      <c r="E769" s="8" t="s">
        <v>4308</v>
      </c>
      <c r="F769" s="8" t="s">
        <v>4295</v>
      </c>
      <c r="G769" s="6" t="s">
        <v>51</v>
      </c>
      <c r="H769" s="6" t="s">
        <v>52</v>
      </c>
      <c r="I769" s="8" t="s">
        <v>4296</v>
      </c>
      <c r="J769" s="9">
        <v>1</v>
      </c>
      <c r="K769" s="9">
        <v>156</v>
      </c>
      <c r="L769" s="9">
        <v>2022</v>
      </c>
      <c r="M769" s="8" t="s">
        <v>4309</v>
      </c>
      <c r="N769" s="8" t="s">
        <v>40</v>
      </c>
      <c r="O769" s="8" t="s">
        <v>41</v>
      </c>
      <c r="P769" s="6" t="s">
        <v>4298</v>
      </c>
      <c r="Q769" s="8" t="s">
        <v>43</v>
      </c>
      <c r="R769" s="10" t="s">
        <v>4299</v>
      </c>
      <c r="S769" s="11"/>
      <c r="T769" s="6" t="s">
        <v>368</v>
      </c>
      <c r="U769" s="28" t="str">
        <f>HYPERLINK("https://media.infra-m.ru/1946/1946421/cover/1946421.jpg", "Обложка")</f>
        <v>Обложка</v>
      </c>
      <c r="V769" s="28" t="str">
        <f>HYPERLINK("https://znanium.com/catalog/product/1971864", "Ознакомиться")</f>
        <v>Ознакомиться</v>
      </c>
      <c r="W769" s="8" t="s">
        <v>4300</v>
      </c>
      <c r="X769" s="6"/>
      <c r="Y769" s="6" t="s">
        <v>30</v>
      </c>
      <c r="Z769" s="6"/>
      <c r="AA769" s="6" t="s">
        <v>1721</v>
      </c>
    </row>
    <row r="770" spans="1:27" s="4" customFormat="1" ht="42" customHeight="1">
      <c r="A770" s="5">
        <v>0</v>
      </c>
      <c r="B770" s="6" t="s">
        <v>4310</v>
      </c>
      <c r="C770" s="7">
        <v>424.9</v>
      </c>
      <c r="D770" s="8" t="s">
        <v>4311</v>
      </c>
      <c r="E770" s="8" t="s">
        <v>4312</v>
      </c>
      <c r="F770" s="8" t="s">
        <v>4295</v>
      </c>
      <c r="G770" s="6" t="s">
        <v>51</v>
      </c>
      <c r="H770" s="6" t="s">
        <v>52</v>
      </c>
      <c r="I770" s="8" t="s">
        <v>4296</v>
      </c>
      <c r="J770" s="9">
        <v>1</v>
      </c>
      <c r="K770" s="9">
        <v>137</v>
      </c>
      <c r="L770" s="9">
        <v>2018</v>
      </c>
      <c r="M770" s="8" t="s">
        <v>4313</v>
      </c>
      <c r="N770" s="8" t="s">
        <v>40</v>
      </c>
      <c r="O770" s="8" t="s">
        <v>41</v>
      </c>
      <c r="P770" s="6" t="s">
        <v>4298</v>
      </c>
      <c r="Q770" s="8" t="s">
        <v>43</v>
      </c>
      <c r="R770" s="10" t="s">
        <v>4299</v>
      </c>
      <c r="S770" s="11"/>
      <c r="T770" s="6"/>
      <c r="U770" s="28" t="str">
        <f>HYPERLINK("https://media.infra-m.ru/0982/0982779/cover/982779.jpg", "Обложка")</f>
        <v>Обложка</v>
      </c>
      <c r="V770" s="28" t="str">
        <f>HYPERLINK("https://znanium.com/catalog/product/1971864", "Ознакомиться")</f>
        <v>Ознакомиться</v>
      </c>
      <c r="W770" s="8" t="s">
        <v>4300</v>
      </c>
      <c r="X770" s="6"/>
      <c r="Y770" s="6" t="s">
        <v>30</v>
      </c>
      <c r="Z770" s="6"/>
      <c r="AA770" s="6" t="s">
        <v>524</v>
      </c>
    </row>
    <row r="771" spans="1:27" s="4" customFormat="1" ht="51.95" customHeight="1">
      <c r="A771" s="5">
        <v>0</v>
      </c>
      <c r="B771" s="6" t="s">
        <v>4314</v>
      </c>
      <c r="C771" s="7">
        <v>980</v>
      </c>
      <c r="D771" s="8" t="s">
        <v>4315</v>
      </c>
      <c r="E771" s="8" t="s">
        <v>4304</v>
      </c>
      <c r="F771" s="8" t="s">
        <v>4316</v>
      </c>
      <c r="G771" s="6" t="s">
        <v>37</v>
      </c>
      <c r="H771" s="6" t="s">
        <v>84</v>
      </c>
      <c r="I771" s="8" t="s">
        <v>120</v>
      </c>
      <c r="J771" s="9">
        <v>1</v>
      </c>
      <c r="K771" s="9">
        <v>212</v>
      </c>
      <c r="L771" s="9">
        <v>2024</v>
      </c>
      <c r="M771" s="8" t="s">
        <v>4317</v>
      </c>
      <c r="N771" s="8" t="s">
        <v>40</v>
      </c>
      <c r="O771" s="8" t="s">
        <v>41</v>
      </c>
      <c r="P771" s="6" t="s">
        <v>95</v>
      </c>
      <c r="Q771" s="8" t="s">
        <v>76</v>
      </c>
      <c r="R771" s="10" t="s">
        <v>4318</v>
      </c>
      <c r="S771" s="11" t="s">
        <v>4319</v>
      </c>
      <c r="T771" s="6"/>
      <c r="U771" s="28" t="str">
        <f>HYPERLINK("https://media.infra-m.ru/2084/2084656/cover/2084656.jpg", "Обложка")</f>
        <v>Обложка</v>
      </c>
      <c r="V771" s="28" t="str">
        <f>HYPERLINK("https://znanium.com/catalog/product/2084656", "Ознакомиться")</f>
        <v>Ознакомиться</v>
      </c>
      <c r="W771" s="8" t="s">
        <v>4320</v>
      </c>
      <c r="X771" s="6"/>
      <c r="Y771" s="6" t="s">
        <v>30</v>
      </c>
      <c r="Z771" s="6" t="s">
        <v>4321</v>
      </c>
      <c r="AA771" s="6" t="s">
        <v>2437</v>
      </c>
    </row>
    <row r="772" spans="1:27" s="4" customFormat="1" ht="51.95" customHeight="1">
      <c r="A772" s="5">
        <v>0</v>
      </c>
      <c r="B772" s="6" t="s">
        <v>4322</v>
      </c>
      <c r="C772" s="13">
        <v>1020</v>
      </c>
      <c r="D772" s="8" t="s">
        <v>4323</v>
      </c>
      <c r="E772" s="8" t="s">
        <v>4312</v>
      </c>
      <c r="F772" s="8" t="s">
        <v>4316</v>
      </c>
      <c r="G772" s="6" t="s">
        <v>37</v>
      </c>
      <c r="H772" s="6" t="s">
        <v>272</v>
      </c>
      <c r="I772" s="8" t="s">
        <v>93</v>
      </c>
      <c r="J772" s="9">
        <v>1</v>
      </c>
      <c r="K772" s="9">
        <v>298</v>
      </c>
      <c r="L772" s="9">
        <v>2020</v>
      </c>
      <c r="M772" s="8" t="s">
        <v>4324</v>
      </c>
      <c r="N772" s="8" t="s">
        <v>40</v>
      </c>
      <c r="O772" s="8" t="s">
        <v>41</v>
      </c>
      <c r="P772" s="6" t="s">
        <v>75</v>
      </c>
      <c r="Q772" s="8" t="s">
        <v>96</v>
      </c>
      <c r="R772" s="10" t="s">
        <v>4325</v>
      </c>
      <c r="S772" s="11" t="s">
        <v>4326</v>
      </c>
      <c r="T772" s="6"/>
      <c r="U772" s="28" t="str">
        <f>HYPERLINK("https://media.infra-m.ru/1096/1096998/cover/1096998.jpg", "Обложка")</f>
        <v>Обложка</v>
      </c>
      <c r="V772" s="28" t="str">
        <f>HYPERLINK("https://znanium.com/catalog/product/1915952", "Ознакомиться")</f>
        <v>Ознакомиться</v>
      </c>
      <c r="W772" s="8" t="s">
        <v>4320</v>
      </c>
      <c r="X772" s="6"/>
      <c r="Y772" s="6" t="s">
        <v>30</v>
      </c>
      <c r="Z772" s="6"/>
      <c r="AA772" s="6" t="s">
        <v>524</v>
      </c>
    </row>
    <row r="773" spans="1:27" s="4" customFormat="1" ht="51.95" customHeight="1">
      <c r="A773" s="5">
        <v>0</v>
      </c>
      <c r="B773" s="6" t="s">
        <v>4327</v>
      </c>
      <c r="C773" s="7">
        <v>960</v>
      </c>
      <c r="D773" s="8" t="s">
        <v>4328</v>
      </c>
      <c r="E773" s="8" t="s">
        <v>4304</v>
      </c>
      <c r="F773" s="8" t="s">
        <v>4316</v>
      </c>
      <c r="G773" s="6" t="s">
        <v>37</v>
      </c>
      <c r="H773" s="6" t="s">
        <v>84</v>
      </c>
      <c r="I773" s="8" t="s">
        <v>93</v>
      </c>
      <c r="J773" s="9">
        <v>1</v>
      </c>
      <c r="K773" s="9">
        <v>212</v>
      </c>
      <c r="L773" s="9">
        <v>2023</v>
      </c>
      <c r="M773" s="8" t="s">
        <v>4329</v>
      </c>
      <c r="N773" s="8" t="s">
        <v>40</v>
      </c>
      <c r="O773" s="8" t="s">
        <v>41</v>
      </c>
      <c r="P773" s="6" t="s">
        <v>95</v>
      </c>
      <c r="Q773" s="8" t="s">
        <v>96</v>
      </c>
      <c r="R773" s="10" t="s">
        <v>4325</v>
      </c>
      <c r="S773" s="11" t="s">
        <v>4330</v>
      </c>
      <c r="T773" s="6"/>
      <c r="U773" s="28" t="str">
        <f>HYPERLINK("https://media.infra-m.ru/1915/1915952/cover/1915952.jpg", "Обложка")</f>
        <v>Обложка</v>
      </c>
      <c r="V773" s="28" t="str">
        <f>HYPERLINK("https://znanium.com/catalog/product/1915952", "Ознакомиться")</f>
        <v>Ознакомиться</v>
      </c>
      <c r="W773" s="8" t="s">
        <v>4320</v>
      </c>
      <c r="X773" s="6"/>
      <c r="Y773" s="6" t="s">
        <v>30</v>
      </c>
      <c r="Z773" s="6"/>
      <c r="AA773" s="6" t="s">
        <v>2437</v>
      </c>
    </row>
    <row r="774" spans="1:27" s="4" customFormat="1" ht="42" customHeight="1">
      <c r="A774" s="5">
        <v>0</v>
      </c>
      <c r="B774" s="6" t="s">
        <v>4331</v>
      </c>
      <c r="C774" s="13">
        <v>1030</v>
      </c>
      <c r="D774" s="8" t="s">
        <v>4332</v>
      </c>
      <c r="E774" s="8" t="s">
        <v>4333</v>
      </c>
      <c r="F774" s="8" t="s">
        <v>4334</v>
      </c>
      <c r="G774" s="6" t="s">
        <v>37</v>
      </c>
      <c r="H774" s="6" t="s">
        <v>84</v>
      </c>
      <c r="I774" s="8" t="s">
        <v>85</v>
      </c>
      <c r="J774" s="9">
        <v>1</v>
      </c>
      <c r="K774" s="9">
        <v>272</v>
      </c>
      <c r="L774" s="9">
        <v>2022</v>
      </c>
      <c r="M774" s="8" t="s">
        <v>4335</v>
      </c>
      <c r="N774" s="8" t="s">
        <v>40</v>
      </c>
      <c r="O774" s="8" t="s">
        <v>41</v>
      </c>
      <c r="P774" s="6" t="s">
        <v>42</v>
      </c>
      <c r="Q774" s="8" t="s">
        <v>43</v>
      </c>
      <c r="R774" s="10" t="s">
        <v>896</v>
      </c>
      <c r="S774" s="11"/>
      <c r="T774" s="6"/>
      <c r="U774" s="28" t="str">
        <f>HYPERLINK("https://media.infra-m.ru/1870/1870587/cover/1870587.jpg", "Обложка")</f>
        <v>Обложка</v>
      </c>
      <c r="V774" s="28" t="str">
        <f>HYPERLINK("https://znanium.com/catalog/product/1870587", "Ознакомиться")</f>
        <v>Ознакомиться</v>
      </c>
      <c r="W774" s="8" t="s">
        <v>45</v>
      </c>
      <c r="X774" s="6"/>
      <c r="Y774" s="6"/>
      <c r="Z774" s="6"/>
      <c r="AA774" s="6" t="s">
        <v>148</v>
      </c>
    </row>
    <row r="775" spans="1:27" s="4" customFormat="1" ht="51.95" customHeight="1">
      <c r="A775" s="5">
        <v>0</v>
      </c>
      <c r="B775" s="6" t="s">
        <v>4336</v>
      </c>
      <c r="C775" s="7">
        <v>850</v>
      </c>
      <c r="D775" s="8" t="s">
        <v>4337</v>
      </c>
      <c r="E775" s="8" t="s">
        <v>4338</v>
      </c>
      <c r="F775" s="8" t="s">
        <v>4339</v>
      </c>
      <c r="G775" s="6" t="s">
        <v>37</v>
      </c>
      <c r="H775" s="6" t="s">
        <v>84</v>
      </c>
      <c r="I775" s="8" t="s">
        <v>185</v>
      </c>
      <c r="J775" s="9">
        <v>1</v>
      </c>
      <c r="K775" s="9">
        <v>223</v>
      </c>
      <c r="L775" s="9">
        <v>2022</v>
      </c>
      <c r="M775" s="8" t="s">
        <v>4340</v>
      </c>
      <c r="N775" s="8" t="s">
        <v>40</v>
      </c>
      <c r="O775" s="8" t="s">
        <v>41</v>
      </c>
      <c r="P775" s="6" t="s">
        <v>75</v>
      </c>
      <c r="Q775" s="8" t="s">
        <v>76</v>
      </c>
      <c r="R775" s="10" t="s">
        <v>4341</v>
      </c>
      <c r="S775" s="11" t="s">
        <v>4342</v>
      </c>
      <c r="T775" s="6"/>
      <c r="U775" s="28" t="str">
        <f>HYPERLINK("https://media.infra-m.ru/1859/1859601/cover/1859601.jpg", "Обложка")</f>
        <v>Обложка</v>
      </c>
      <c r="V775" s="28" t="str">
        <f>HYPERLINK("https://znanium.com/catalog/product/1859601", "Ознакомиться")</f>
        <v>Ознакомиться</v>
      </c>
      <c r="W775" s="8" t="s">
        <v>4343</v>
      </c>
      <c r="X775" s="6"/>
      <c r="Y775" s="6"/>
      <c r="Z775" s="6"/>
      <c r="AA775" s="6" t="s">
        <v>46</v>
      </c>
    </row>
    <row r="776" spans="1:27" s="4" customFormat="1" ht="42" customHeight="1">
      <c r="A776" s="5">
        <v>0</v>
      </c>
      <c r="B776" s="6" t="s">
        <v>4344</v>
      </c>
      <c r="C776" s="13">
        <v>1984</v>
      </c>
      <c r="D776" s="8" t="s">
        <v>4345</v>
      </c>
      <c r="E776" s="8" t="s">
        <v>4346</v>
      </c>
      <c r="F776" s="8" t="s">
        <v>4347</v>
      </c>
      <c r="G776" s="6" t="s">
        <v>58</v>
      </c>
      <c r="H776" s="6" t="s">
        <v>617</v>
      </c>
      <c r="I776" s="8" t="s">
        <v>1525</v>
      </c>
      <c r="J776" s="9">
        <v>1</v>
      </c>
      <c r="K776" s="9">
        <v>435</v>
      </c>
      <c r="L776" s="9">
        <v>2024</v>
      </c>
      <c r="M776" s="8" t="s">
        <v>4348</v>
      </c>
      <c r="N776" s="8" t="s">
        <v>40</v>
      </c>
      <c r="O776" s="8" t="s">
        <v>41</v>
      </c>
      <c r="P776" s="6" t="s">
        <v>42</v>
      </c>
      <c r="Q776" s="8" t="s">
        <v>43</v>
      </c>
      <c r="R776" s="10" t="s">
        <v>304</v>
      </c>
      <c r="S776" s="11"/>
      <c r="T776" s="6"/>
      <c r="U776" s="28" t="str">
        <f>HYPERLINK("https://media.infra-m.ru/2056/2056650/cover/2056650.jpg", "Обложка")</f>
        <v>Обложка</v>
      </c>
      <c r="V776" s="12"/>
      <c r="W776" s="8" t="s">
        <v>1362</v>
      </c>
      <c r="X776" s="6"/>
      <c r="Y776" s="6"/>
      <c r="Z776" s="6"/>
      <c r="AA776" s="6" t="s">
        <v>706</v>
      </c>
    </row>
    <row r="777" spans="1:27" s="4" customFormat="1" ht="44.1" customHeight="1">
      <c r="A777" s="5">
        <v>0</v>
      </c>
      <c r="B777" s="6" t="s">
        <v>4349</v>
      </c>
      <c r="C777" s="7">
        <v>990</v>
      </c>
      <c r="D777" s="8" t="s">
        <v>4350</v>
      </c>
      <c r="E777" s="8" t="s">
        <v>4351</v>
      </c>
      <c r="F777" s="8" t="s">
        <v>4352</v>
      </c>
      <c r="G777" s="6" t="s">
        <v>37</v>
      </c>
      <c r="H777" s="6" t="s">
        <v>84</v>
      </c>
      <c r="I777" s="8" t="s">
        <v>251</v>
      </c>
      <c r="J777" s="9">
        <v>1</v>
      </c>
      <c r="K777" s="9">
        <v>214</v>
      </c>
      <c r="L777" s="9">
        <v>2023</v>
      </c>
      <c r="M777" s="8" t="s">
        <v>4353</v>
      </c>
      <c r="N777" s="8" t="s">
        <v>40</v>
      </c>
      <c r="O777" s="8" t="s">
        <v>41</v>
      </c>
      <c r="P777" s="6" t="s">
        <v>42</v>
      </c>
      <c r="Q777" s="8" t="s">
        <v>43</v>
      </c>
      <c r="R777" s="10" t="s">
        <v>2195</v>
      </c>
      <c r="S777" s="11"/>
      <c r="T777" s="6"/>
      <c r="U777" s="28" t="str">
        <f>HYPERLINK("https://media.infra-m.ru/1981/1981560/cover/1981560.jpg", "Обложка")</f>
        <v>Обложка</v>
      </c>
      <c r="V777" s="28" t="str">
        <f>HYPERLINK("https://znanium.com/catalog/product/1981560", "Ознакомиться")</f>
        <v>Ознакомиться</v>
      </c>
      <c r="W777" s="8" t="s">
        <v>170</v>
      </c>
      <c r="X777" s="6"/>
      <c r="Y777" s="6"/>
      <c r="Z777" s="6"/>
      <c r="AA777" s="6" t="s">
        <v>115</v>
      </c>
    </row>
    <row r="778" spans="1:27" s="4" customFormat="1" ht="51.95" customHeight="1">
      <c r="A778" s="5">
        <v>0</v>
      </c>
      <c r="B778" s="6" t="s">
        <v>4354</v>
      </c>
      <c r="C778" s="7">
        <v>554.9</v>
      </c>
      <c r="D778" s="8" t="s">
        <v>4355</v>
      </c>
      <c r="E778" s="8" t="s">
        <v>4356</v>
      </c>
      <c r="F778" s="8" t="s">
        <v>4357</v>
      </c>
      <c r="G778" s="6" t="s">
        <v>51</v>
      </c>
      <c r="H778" s="6" t="s">
        <v>38</v>
      </c>
      <c r="I778" s="8"/>
      <c r="J778" s="9">
        <v>40</v>
      </c>
      <c r="K778" s="9">
        <v>160</v>
      </c>
      <c r="L778" s="9">
        <v>2020</v>
      </c>
      <c r="M778" s="8" t="s">
        <v>4358</v>
      </c>
      <c r="N778" s="8" t="s">
        <v>40</v>
      </c>
      <c r="O778" s="8" t="s">
        <v>41</v>
      </c>
      <c r="P778" s="6" t="s">
        <v>42</v>
      </c>
      <c r="Q778" s="8" t="s">
        <v>43</v>
      </c>
      <c r="R778" s="10" t="s">
        <v>4359</v>
      </c>
      <c r="S778" s="11"/>
      <c r="T778" s="6"/>
      <c r="U778" s="28" t="str">
        <f>HYPERLINK("https://media.infra-m.ru/1064/1064115/cover/1064115.jpg", "Обложка")</f>
        <v>Обложка</v>
      </c>
      <c r="V778" s="28" t="str">
        <f>HYPERLINK("https://znanium.com/catalog/product/2107903", "Ознакомиться")</f>
        <v>Ознакомиться</v>
      </c>
      <c r="W778" s="8" t="s">
        <v>535</v>
      </c>
      <c r="X778" s="6"/>
      <c r="Y778" s="6"/>
      <c r="Z778" s="6"/>
      <c r="AA778" s="6" t="s">
        <v>2442</v>
      </c>
    </row>
    <row r="779" spans="1:27" s="4" customFormat="1" ht="51.95" customHeight="1">
      <c r="A779" s="5">
        <v>0</v>
      </c>
      <c r="B779" s="6" t="s">
        <v>4360</v>
      </c>
      <c r="C779" s="7">
        <v>780</v>
      </c>
      <c r="D779" s="8" t="s">
        <v>4361</v>
      </c>
      <c r="E779" s="8" t="s">
        <v>4362</v>
      </c>
      <c r="F779" s="8" t="s">
        <v>4357</v>
      </c>
      <c r="G779" s="6" t="s">
        <v>37</v>
      </c>
      <c r="H779" s="6" t="s">
        <v>38</v>
      </c>
      <c r="I779" s="8"/>
      <c r="J779" s="9">
        <v>1</v>
      </c>
      <c r="K779" s="9">
        <v>168</v>
      </c>
      <c r="L779" s="9">
        <v>2024</v>
      </c>
      <c r="M779" s="8" t="s">
        <v>4363</v>
      </c>
      <c r="N779" s="8" t="s">
        <v>40</v>
      </c>
      <c r="O779" s="8" t="s">
        <v>41</v>
      </c>
      <c r="P779" s="6" t="s">
        <v>42</v>
      </c>
      <c r="Q779" s="8" t="s">
        <v>296</v>
      </c>
      <c r="R779" s="10" t="s">
        <v>4359</v>
      </c>
      <c r="S779" s="11"/>
      <c r="T779" s="6"/>
      <c r="U779" s="28" t="str">
        <f>HYPERLINK("https://media.infra-m.ru/2107/2107903/cover/2107903.jpg", "Обложка")</f>
        <v>Обложка</v>
      </c>
      <c r="V779" s="28" t="str">
        <f>HYPERLINK("https://znanium.com/catalog/product/2107903", "Ознакомиться")</f>
        <v>Ознакомиться</v>
      </c>
      <c r="W779" s="8" t="s">
        <v>535</v>
      </c>
      <c r="X779" s="6"/>
      <c r="Y779" s="6"/>
      <c r="Z779" s="6"/>
      <c r="AA779" s="6" t="s">
        <v>2437</v>
      </c>
    </row>
    <row r="780" spans="1:27" s="4" customFormat="1" ht="42" customHeight="1">
      <c r="A780" s="5">
        <v>0</v>
      </c>
      <c r="B780" s="6" t="s">
        <v>4364</v>
      </c>
      <c r="C780" s="13">
        <v>1155</v>
      </c>
      <c r="D780" s="8" t="s">
        <v>4365</v>
      </c>
      <c r="E780" s="8" t="s">
        <v>4366</v>
      </c>
      <c r="F780" s="8" t="s">
        <v>4367</v>
      </c>
      <c r="G780" s="6" t="s">
        <v>58</v>
      </c>
      <c r="H780" s="6" t="s">
        <v>38</v>
      </c>
      <c r="I780" s="8"/>
      <c r="J780" s="9">
        <v>1</v>
      </c>
      <c r="K780" s="9">
        <v>160</v>
      </c>
      <c r="L780" s="9">
        <v>2023</v>
      </c>
      <c r="M780" s="8" t="s">
        <v>4368</v>
      </c>
      <c r="N780" s="8" t="s">
        <v>40</v>
      </c>
      <c r="O780" s="8" t="s">
        <v>41</v>
      </c>
      <c r="P780" s="6" t="s">
        <v>42</v>
      </c>
      <c r="Q780" s="8" t="s">
        <v>43</v>
      </c>
      <c r="R780" s="10" t="s">
        <v>4369</v>
      </c>
      <c r="S780" s="11"/>
      <c r="T780" s="6"/>
      <c r="U780" s="28" t="str">
        <f>HYPERLINK("https://media.infra-m.ru/2088/2088676/cover/2088676.jpg", "Обложка")</f>
        <v>Обложка</v>
      </c>
      <c r="V780" s="28" t="str">
        <f>HYPERLINK("https://znanium.com/catalog/product/2068208", "Ознакомиться")</f>
        <v>Ознакомиться</v>
      </c>
      <c r="W780" s="8" t="s">
        <v>1692</v>
      </c>
      <c r="X780" s="6"/>
      <c r="Y780" s="6"/>
      <c r="Z780" s="6"/>
      <c r="AA780" s="6" t="s">
        <v>408</v>
      </c>
    </row>
    <row r="781" spans="1:27" s="4" customFormat="1" ht="51.95" customHeight="1">
      <c r="A781" s="5">
        <v>0</v>
      </c>
      <c r="B781" s="6" t="s">
        <v>4370</v>
      </c>
      <c r="C781" s="13">
        <v>1480</v>
      </c>
      <c r="D781" s="8" t="s">
        <v>4371</v>
      </c>
      <c r="E781" s="8" t="s">
        <v>4372</v>
      </c>
      <c r="F781" s="8" t="s">
        <v>1316</v>
      </c>
      <c r="G781" s="6" t="s">
        <v>58</v>
      </c>
      <c r="H781" s="6" t="s">
        <v>38</v>
      </c>
      <c r="I781" s="8"/>
      <c r="J781" s="9">
        <v>1</v>
      </c>
      <c r="K781" s="9">
        <v>320</v>
      </c>
      <c r="L781" s="9">
        <v>2024</v>
      </c>
      <c r="M781" s="8" t="s">
        <v>4373</v>
      </c>
      <c r="N781" s="8" t="s">
        <v>40</v>
      </c>
      <c r="O781" s="8" t="s">
        <v>41</v>
      </c>
      <c r="P781" s="6" t="s">
        <v>75</v>
      </c>
      <c r="Q781" s="8" t="s">
        <v>76</v>
      </c>
      <c r="R781" s="10" t="s">
        <v>77</v>
      </c>
      <c r="S781" s="11"/>
      <c r="T781" s="6"/>
      <c r="U781" s="28" t="str">
        <f>HYPERLINK("https://media.infra-m.ru/2104/2104327/cover/2104327.jpg", "Обложка")</f>
        <v>Обложка</v>
      </c>
      <c r="V781" s="28" t="str">
        <f>HYPERLINK("https://znanium.com/catalog/product/2104327", "Ознакомиться")</f>
        <v>Ознакомиться</v>
      </c>
      <c r="W781" s="8" t="s">
        <v>124</v>
      </c>
      <c r="X781" s="6" t="s">
        <v>381</v>
      </c>
      <c r="Y781" s="6"/>
      <c r="Z781" s="6"/>
      <c r="AA781" s="6" t="s">
        <v>382</v>
      </c>
    </row>
    <row r="782" spans="1:27" s="4" customFormat="1" ht="51.95" customHeight="1">
      <c r="A782" s="5">
        <v>0</v>
      </c>
      <c r="B782" s="6" t="s">
        <v>4374</v>
      </c>
      <c r="C782" s="13">
        <v>1100</v>
      </c>
      <c r="D782" s="8" t="s">
        <v>4375</v>
      </c>
      <c r="E782" s="8" t="s">
        <v>4376</v>
      </c>
      <c r="F782" s="8" t="s">
        <v>1316</v>
      </c>
      <c r="G782" s="6" t="s">
        <v>58</v>
      </c>
      <c r="H782" s="6" t="s">
        <v>38</v>
      </c>
      <c r="I782" s="8"/>
      <c r="J782" s="9">
        <v>1</v>
      </c>
      <c r="K782" s="9">
        <v>320</v>
      </c>
      <c r="L782" s="9">
        <v>2020</v>
      </c>
      <c r="M782" s="8" t="s">
        <v>4377</v>
      </c>
      <c r="N782" s="8" t="s">
        <v>40</v>
      </c>
      <c r="O782" s="8" t="s">
        <v>41</v>
      </c>
      <c r="P782" s="6" t="s">
        <v>75</v>
      </c>
      <c r="Q782" s="8" t="s">
        <v>76</v>
      </c>
      <c r="R782" s="10" t="s">
        <v>77</v>
      </c>
      <c r="S782" s="11"/>
      <c r="T782" s="6"/>
      <c r="U782" s="28" t="str">
        <f>HYPERLINK("https://media.infra-m.ru/1087/1087782/cover/1087782.jpg", "Обложка")</f>
        <v>Обложка</v>
      </c>
      <c r="V782" s="28" t="str">
        <f>HYPERLINK("https://znanium.com/catalog/product/2104327", "Ознакомиться")</f>
        <v>Ознакомиться</v>
      </c>
      <c r="W782" s="8" t="s">
        <v>124</v>
      </c>
      <c r="X782" s="6"/>
      <c r="Y782" s="6"/>
      <c r="Z782" s="6"/>
      <c r="AA782" s="6" t="s">
        <v>115</v>
      </c>
    </row>
    <row r="783" spans="1:27" s="4" customFormat="1" ht="51.95" customHeight="1">
      <c r="A783" s="5">
        <v>0</v>
      </c>
      <c r="B783" s="6" t="s">
        <v>4378</v>
      </c>
      <c r="C783" s="7">
        <v>970</v>
      </c>
      <c r="D783" s="8" t="s">
        <v>4379</v>
      </c>
      <c r="E783" s="8" t="s">
        <v>4380</v>
      </c>
      <c r="F783" s="8" t="s">
        <v>4381</v>
      </c>
      <c r="G783" s="6" t="s">
        <v>37</v>
      </c>
      <c r="H783" s="6" t="s">
        <v>84</v>
      </c>
      <c r="I783" s="8" t="s">
        <v>1140</v>
      </c>
      <c r="J783" s="9">
        <v>1</v>
      </c>
      <c r="K783" s="9">
        <v>193</v>
      </c>
      <c r="L783" s="9">
        <v>2023</v>
      </c>
      <c r="M783" s="8" t="s">
        <v>4382</v>
      </c>
      <c r="N783" s="8" t="s">
        <v>40</v>
      </c>
      <c r="O783" s="8" t="s">
        <v>41</v>
      </c>
      <c r="P783" s="6" t="s">
        <v>95</v>
      </c>
      <c r="Q783" s="8" t="s">
        <v>1199</v>
      </c>
      <c r="R783" s="10" t="s">
        <v>3080</v>
      </c>
      <c r="S783" s="11" t="s">
        <v>4383</v>
      </c>
      <c r="T783" s="6"/>
      <c r="U783" s="28" t="str">
        <f>HYPERLINK("https://media.infra-m.ru/2053/2053182/cover/2053182.jpg", "Обложка")</f>
        <v>Обложка</v>
      </c>
      <c r="V783" s="28" t="str">
        <f>HYPERLINK("https://znanium.com/catalog/product/1893886", "Ознакомиться")</f>
        <v>Ознакомиться</v>
      </c>
      <c r="W783" s="8" t="s">
        <v>2900</v>
      </c>
      <c r="X783" s="6"/>
      <c r="Y783" s="6"/>
      <c r="Z783" s="6"/>
      <c r="AA783" s="6" t="s">
        <v>408</v>
      </c>
    </row>
    <row r="784" spans="1:27" s="4" customFormat="1" ht="42" customHeight="1">
      <c r="A784" s="5">
        <v>0</v>
      </c>
      <c r="B784" s="6" t="s">
        <v>4384</v>
      </c>
      <c r="C784" s="7">
        <v>460</v>
      </c>
      <c r="D784" s="8" t="s">
        <v>4385</v>
      </c>
      <c r="E784" s="8" t="s">
        <v>4386</v>
      </c>
      <c r="F784" s="8" t="s">
        <v>4387</v>
      </c>
      <c r="G784" s="6" t="s">
        <v>51</v>
      </c>
      <c r="H784" s="6" t="s">
        <v>84</v>
      </c>
      <c r="I784" s="8" t="s">
        <v>251</v>
      </c>
      <c r="J784" s="9">
        <v>1</v>
      </c>
      <c r="K784" s="9">
        <v>124</v>
      </c>
      <c r="L784" s="9">
        <v>2021</v>
      </c>
      <c r="M784" s="8" t="s">
        <v>4388</v>
      </c>
      <c r="N784" s="8" t="s">
        <v>40</v>
      </c>
      <c r="O784" s="8" t="s">
        <v>41</v>
      </c>
      <c r="P784" s="6" t="s">
        <v>42</v>
      </c>
      <c r="Q784" s="8" t="s">
        <v>43</v>
      </c>
      <c r="R784" s="10" t="s">
        <v>310</v>
      </c>
      <c r="S784" s="11"/>
      <c r="T784" s="6"/>
      <c r="U784" s="28" t="str">
        <f>HYPERLINK("https://media.infra-m.ru/1342/1342195/cover/1342195.jpg", "Обложка")</f>
        <v>Обложка</v>
      </c>
      <c r="V784" s="28" t="str">
        <f>HYPERLINK("https://znanium.com/catalog/product/1342195", "Ознакомиться")</f>
        <v>Ознакомиться</v>
      </c>
      <c r="W784" s="8" t="s">
        <v>4389</v>
      </c>
      <c r="X784" s="6"/>
      <c r="Y784" s="6"/>
      <c r="Z784" s="6"/>
      <c r="AA784" s="6" t="s">
        <v>289</v>
      </c>
    </row>
    <row r="785" spans="1:27" s="4" customFormat="1" ht="44.1" customHeight="1">
      <c r="A785" s="5">
        <v>0</v>
      </c>
      <c r="B785" s="6" t="s">
        <v>4390</v>
      </c>
      <c r="C785" s="7">
        <v>870</v>
      </c>
      <c r="D785" s="8" t="s">
        <v>4391</v>
      </c>
      <c r="E785" s="8" t="s">
        <v>4392</v>
      </c>
      <c r="F785" s="8" t="s">
        <v>4393</v>
      </c>
      <c r="G785" s="6" t="s">
        <v>51</v>
      </c>
      <c r="H785" s="6" t="s">
        <v>84</v>
      </c>
      <c r="I785" s="8" t="s">
        <v>85</v>
      </c>
      <c r="J785" s="9">
        <v>1</v>
      </c>
      <c r="K785" s="9">
        <v>240</v>
      </c>
      <c r="L785" s="9">
        <v>2021</v>
      </c>
      <c r="M785" s="8" t="s">
        <v>4394</v>
      </c>
      <c r="N785" s="8" t="s">
        <v>40</v>
      </c>
      <c r="O785" s="8" t="s">
        <v>41</v>
      </c>
      <c r="P785" s="6" t="s">
        <v>42</v>
      </c>
      <c r="Q785" s="8" t="s">
        <v>43</v>
      </c>
      <c r="R785" s="10" t="s">
        <v>1887</v>
      </c>
      <c r="S785" s="11"/>
      <c r="T785" s="6"/>
      <c r="U785" s="28" t="str">
        <f>HYPERLINK("https://media.infra-m.ru/1227/1227527/cover/1227527.jpg", "Обложка")</f>
        <v>Обложка</v>
      </c>
      <c r="V785" s="28" t="str">
        <f>HYPERLINK("https://znanium.com/catalog/product/1227527", "Ознакомиться")</f>
        <v>Ознакомиться</v>
      </c>
      <c r="W785" s="8" t="s">
        <v>45</v>
      </c>
      <c r="X785" s="6"/>
      <c r="Y785" s="6"/>
      <c r="Z785" s="6"/>
      <c r="AA785" s="6" t="s">
        <v>148</v>
      </c>
    </row>
    <row r="786" spans="1:27" s="4" customFormat="1" ht="44.1" customHeight="1">
      <c r="A786" s="5">
        <v>0</v>
      </c>
      <c r="B786" s="6" t="s">
        <v>4395</v>
      </c>
      <c r="C786" s="7">
        <v>528</v>
      </c>
      <c r="D786" s="8" t="s">
        <v>4396</v>
      </c>
      <c r="E786" s="8" t="s">
        <v>4397</v>
      </c>
      <c r="F786" s="8" t="s">
        <v>4398</v>
      </c>
      <c r="G786" s="6" t="s">
        <v>51</v>
      </c>
      <c r="H786" s="6" t="s">
        <v>38</v>
      </c>
      <c r="I786" s="8"/>
      <c r="J786" s="9">
        <v>1</v>
      </c>
      <c r="K786" s="9">
        <v>84</v>
      </c>
      <c r="L786" s="9">
        <v>2024</v>
      </c>
      <c r="M786" s="8" t="s">
        <v>4399</v>
      </c>
      <c r="N786" s="8" t="s">
        <v>40</v>
      </c>
      <c r="O786" s="8" t="s">
        <v>41</v>
      </c>
      <c r="P786" s="6" t="s">
        <v>42</v>
      </c>
      <c r="Q786" s="8" t="s">
        <v>43</v>
      </c>
      <c r="R786" s="10" t="s">
        <v>1661</v>
      </c>
      <c r="S786" s="11"/>
      <c r="T786" s="6"/>
      <c r="U786" s="28" t="str">
        <f>HYPERLINK("https://media.infra-m.ru/2124/2124910/cover/2124910.jpg", "Обложка")</f>
        <v>Обложка</v>
      </c>
      <c r="V786" s="12"/>
      <c r="W786" s="8" t="s">
        <v>45</v>
      </c>
      <c r="X786" s="6"/>
      <c r="Y786" s="6"/>
      <c r="Z786" s="6"/>
      <c r="AA786" s="6" t="s">
        <v>100</v>
      </c>
    </row>
    <row r="787" spans="1:27" s="4" customFormat="1" ht="51.95" customHeight="1">
      <c r="A787" s="5">
        <v>0</v>
      </c>
      <c r="B787" s="6" t="s">
        <v>4400</v>
      </c>
      <c r="C787" s="7">
        <v>880</v>
      </c>
      <c r="D787" s="8" t="s">
        <v>4401</v>
      </c>
      <c r="E787" s="8" t="s">
        <v>4402</v>
      </c>
      <c r="F787" s="8" t="s">
        <v>4403</v>
      </c>
      <c r="G787" s="6" t="s">
        <v>37</v>
      </c>
      <c r="H787" s="6" t="s">
        <v>84</v>
      </c>
      <c r="I787" s="8" t="s">
        <v>1140</v>
      </c>
      <c r="J787" s="9">
        <v>1</v>
      </c>
      <c r="K787" s="9">
        <v>185</v>
      </c>
      <c r="L787" s="9">
        <v>2023</v>
      </c>
      <c r="M787" s="8" t="s">
        <v>4404</v>
      </c>
      <c r="N787" s="8" t="s">
        <v>40</v>
      </c>
      <c r="O787" s="8" t="s">
        <v>41</v>
      </c>
      <c r="P787" s="6" t="s">
        <v>75</v>
      </c>
      <c r="Q787" s="8" t="s">
        <v>1199</v>
      </c>
      <c r="R787" s="10" t="s">
        <v>4405</v>
      </c>
      <c r="S787" s="11" t="s">
        <v>4406</v>
      </c>
      <c r="T787" s="6"/>
      <c r="U787" s="28" t="str">
        <f>HYPERLINK("https://media.infra-m.ru/1971/1971868/cover/1971868.jpg", "Обложка")</f>
        <v>Обложка</v>
      </c>
      <c r="V787" s="28" t="str">
        <f>HYPERLINK("https://znanium.com/catalog/product/1971868", "Ознакомиться")</f>
        <v>Ознакомиться</v>
      </c>
      <c r="W787" s="8" t="s">
        <v>4407</v>
      </c>
      <c r="X787" s="6"/>
      <c r="Y787" s="6"/>
      <c r="Z787" s="6"/>
      <c r="AA787" s="6" t="s">
        <v>343</v>
      </c>
    </row>
    <row r="788" spans="1:27" s="4" customFormat="1" ht="51.95" customHeight="1">
      <c r="A788" s="5">
        <v>0</v>
      </c>
      <c r="B788" s="6" t="s">
        <v>4408</v>
      </c>
      <c r="C788" s="7">
        <v>710</v>
      </c>
      <c r="D788" s="8" t="s">
        <v>4409</v>
      </c>
      <c r="E788" s="8" t="s">
        <v>4402</v>
      </c>
      <c r="F788" s="8" t="s">
        <v>4403</v>
      </c>
      <c r="G788" s="6" t="s">
        <v>58</v>
      </c>
      <c r="H788" s="6" t="s">
        <v>84</v>
      </c>
      <c r="I788" s="8" t="s">
        <v>93</v>
      </c>
      <c r="J788" s="9">
        <v>1</v>
      </c>
      <c r="K788" s="9">
        <v>185</v>
      </c>
      <c r="L788" s="9">
        <v>2022</v>
      </c>
      <c r="M788" s="8" t="s">
        <v>4410</v>
      </c>
      <c r="N788" s="8" t="s">
        <v>40</v>
      </c>
      <c r="O788" s="8" t="s">
        <v>41</v>
      </c>
      <c r="P788" s="6" t="s">
        <v>75</v>
      </c>
      <c r="Q788" s="8" t="s">
        <v>96</v>
      </c>
      <c r="R788" s="10" t="s">
        <v>2988</v>
      </c>
      <c r="S788" s="11" t="s">
        <v>4411</v>
      </c>
      <c r="T788" s="6"/>
      <c r="U788" s="28" t="str">
        <f>HYPERLINK("https://media.infra-m.ru/1853/1853811/cover/1853811.jpg", "Обложка")</f>
        <v>Обложка</v>
      </c>
      <c r="V788" s="28" t="str">
        <f>HYPERLINK("https://znanium.com/catalog/product/1853811", "Ознакомиться")</f>
        <v>Ознакомиться</v>
      </c>
      <c r="W788" s="8" t="s">
        <v>4407</v>
      </c>
      <c r="X788" s="6"/>
      <c r="Y788" s="6"/>
      <c r="Z788" s="6" t="s">
        <v>4412</v>
      </c>
      <c r="AA788" s="6" t="s">
        <v>343</v>
      </c>
    </row>
    <row r="789" spans="1:27" s="4" customFormat="1" ht="51.95" customHeight="1">
      <c r="A789" s="5">
        <v>0</v>
      </c>
      <c r="B789" s="6" t="s">
        <v>4413</v>
      </c>
      <c r="C789" s="13">
        <v>1440</v>
      </c>
      <c r="D789" s="8" t="s">
        <v>4414</v>
      </c>
      <c r="E789" s="8" t="s">
        <v>4415</v>
      </c>
      <c r="F789" s="8" t="s">
        <v>1837</v>
      </c>
      <c r="G789" s="6" t="s">
        <v>37</v>
      </c>
      <c r="H789" s="6" t="s">
        <v>38</v>
      </c>
      <c r="I789" s="8"/>
      <c r="J789" s="9">
        <v>1</v>
      </c>
      <c r="K789" s="9">
        <v>320</v>
      </c>
      <c r="L789" s="9">
        <v>2023</v>
      </c>
      <c r="M789" s="8" t="s">
        <v>4416</v>
      </c>
      <c r="N789" s="8" t="s">
        <v>40</v>
      </c>
      <c r="O789" s="8" t="s">
        <v>41</v>
      </c>
      <c r="P789" s="6" t="s">
        <v>295</v>
      </c>
      <c r="Q789" s="8" t="s">
        <v>43</v>
      </c>
      <c r="R789" s="10" t="s">
        <v>2295</v>
      </c>
      <c r="S789" s="11"/>
      <c r="T789" s="6"/>
      <c r="U789" s="28" t="str">
        <f>HYPERLINK("https://media.infra-m.ru/1898/1898756/cover/1898756.jpg", "Обложка")</f>
        <v>Обложка</v>
      </c>
      <c r="V789" s="28" t="str">
        <f>HYPERLINK("https://znanium.com/catalog/product/1898756", "Ознакомиться")</f>
        <v>Ознакомиться</v>
      </c>
      <c r="W789" s="8" t="s">
        <v>114</v>
      </c>
      <c r="X789" s="6"/>
      <c r="Y789" s="6"/>
      <c r="Z789" s="6"/>
      <c r="AA789" s="6" t="s">
        <v>62</v>
      </c>
    </row>
    <row r="790" spans="1:27" s="4" customFormat="1" ht="51.95" customHeight="1">
      <c r="A790" s="5">
        <v>0</v>
      </c>
      <c r="B790" s="6" t="s">
        <v>4417</v>
      </c>
      <c r="C790" s="13">
        <v>1155</v>
      </c>
      <c r="D790" s="8" t="s">
        <v>4418</v>
      </c>
      <c r="E790" s="8" t="s">
        <v>4419</v>
      </c>
      <c r="F790" s="8" t="s">
        <v>4420</v>
      </c>
      <c r="G790" s="6" t="s">
        <v>51</v>
      </c>
      <c r="H790" s="6" t="s">
        <v>38</v>
      </c>
      <c r="I790" s="8"/>
      <c r="J790" s="9">
        <v>1</v>
      </c>
      <c r="K790" s="9">
        <v>120</v>
      </c>
      <c r="L790" s="9">
        <v>2023</v>
      </c>
      <c r="M790" s="8" t="s">
        <v>4421</v>
      </c>
      <c r="N790" s="8" t="s">
        <v>40</v>
      </c>
      <c r="O790" s="8" t="s">
        <v>41</v>
      </c>
      <c r="P790" s="6" t="s">
        <v>42</v>
      </c>
      <c r="Q790" s="8" t="s">
        <v>43</v>
      </c>
      <c r="R790" s="10" t="s">
        <v>4422</v>
      </c>
      <c r="S790" s="11"/>
      <c r="T790" s="6"/>
      <c r="U790" s="28" t="str">
        <f>HYPERLINK("https://media.infra-m.ru/1911/1911597/cover/1911597.jpg", "Обложка")</f>
        <v>Обложка</v>
      </c>
      <c r="V790" s="28" t="str">
        <f>HYPERLINK("https://znanium.com/catalog/product/1897639", "Ознакомиться")</f>
        <v>Ознакомиться</v>
      </c>
      <c r="W790" s="8"/>
      <c r="X790" s="6"/>
      <c r="Y790" s="6"/>
      <c r="Z790" s="6"/>
      <c r="AA790" s="6" t="s">
        <v>408</v>
      </c>
    </row>
    <row r="791" spans="1:27" s="4" customFormat="1" ht="42" customHeight="1">
      <c r="A791" s="5">
        <v>0</v>
      </c>
      <c r="B791" s="6" t="s">
        <v>4423</v>
      </c>
      <c r="C791" s="7">
        <v>360</v>
      </c>
      <c r="D791" s="8" t="s">
        <v>4424</v>
      </c>
      <c r="E791" s="8" t="s">
        <v>4425</v>
      </c>
      <c r="F791" s="8" t="s">
        <v>799</v>
      </c>
      <c r="G791" s="6" t="s">
        <v>51</v>
      </c>
      <c r="H791" s="6" t="s">
        <v>84</v>
      </c>
      <c r="I791" s="8" t="s">
        <v>801</v>
      </c>
      <c r="J791" s="9">
        <v>1</v>
      </c>
      <c r="K791" s="9">
        <v>98</v>
      </c>
      <c r="L791" s="9">
        <v>2021</v>
      </c>
      <c r="M791" s="8" t="s">
        <v>4426</v>
      </c>
      <c r="N791" s="8" t="s">
        <v>40</v>
      </c>
      <c r="O791" s="8" t="s">
        <v>41</v>
      </c>
      <c r="P791" s="6" t="s">
        <v>803</v>
      </c>
      <c r="Q791" s="8" t="s">
        <v>43</v>
      </c>
      <c r="R791" s="10" t="s">
        <v>4427</v>
      </c>
      <c r="S791" s="11"/>
      <c r="T791" s="6"/>
      <c r="U791" s="28" t="str">
        <f>HYPERLINK("https://media.infra-m.ru/1455/1455885/cover/1455885.jpg", "Обложка")</f>
        <v>Обложка</v>
      </c>
      <c r="V791" s="28" t="str">
        <f>HYPERLINK("https://znanium.com/catalog/product/1962499", "Ознакомиться")</f>
        <v>Ознакомиться</v>
      </c>
      <c r="W791" s="8"/>
      <c r="X791" s="6"/>
      <c r="Y791" s="6"/>
      <c r="Z791" s="6"/>
      <c r="AA791" s="6" t="s">
        <v>2351</v>
      </c>
    </row>
    <row r="792" spans="1:27" s="4" customFormat="1" ht="42" customHeight="1">
      <c r="A792" s="5">
        <v>0</v>
      </c>
      <c r="B792" s="6" t="s">
        <v>4428</v>
      </c>
      <c r="C792" s="7">
        <v>450</v>
      </c>
      <c r="D792" s="8" t="s">
        <v>4429</v>
      </c>
      <c r="E792" s="8" t="s">
        <v>4430</v>
      </c>
      <c r="F792" s="8" t="s">
        <v>799</v>
      </c>
      <c r="G792" s="6" t="s">
        <v>51</v>
      </c>
      <c r="H792" s="6" t="s">
        <v>84</v>
      </c>
      <c r="I792" s="8" t="s">
        <v>801</v>
      </c>
      <c r="J792" s="9">
        <v>1</v>
      </c>
      <c r="K792" s="9">
        <v>104</v>
      </c>
      <c r="L792" s="9">
        <v>2023</v>
      </c>
      <c r="M792" s="8" t="s">
        <v>4431</v>
      </c>
      <c r="N792" s="8" t="s">
        <v>40</v>
      </c>
      <c r="O792" s="8" t="s">
        <v>41</v>
      </c>
      <c r="P792" s="6" t="s">
        <v>803</v>
      </c>
      <c r="Q792" s="8" t="s">
        <v>43</v>
      </c>
      <c r="R792" s="10" t="s">
        <v>4427</v>
      </c>
      <c r="S792" s="11"/>
      <c r="T792" s="6"/>
      <c r="U792" s="28" t="str">
        <f>HYPERLINK("https://media.infra-m.ru/1962/1962499/cover/1962499.jpg", "Обложка")</f>
        <v>Обложка</v>
      </c>
      <c r="V792" s="28" t="str">
        <f>HYPERLINK("https://znanium.com/catalog/product/1962499", "Ознакомиться")</f>
        <v>Ознакомиться</v>
      </c>
      <c r="W792" s="8"/>
      <c r="X792" s="6"/>
      <c r="Y792" s="6"/>
      <c r="Z792" s="6"/>
      <c r="AA792" s="6" t="s">
        <v>4432</v>
      </c>
    </row>
    <row r="793" spans="1:27" s="4" customFormat="1" ht="42" customHeight="1">
      <c r="A793" s="5">
        <v>0</v>
      </c>
      <c r="B793" s="6" t="s">
        <v>4433</v>
      </c>
      <c r="C793" s="7">
        <v>380</v>
      </c>
      <c r="D793" s="8" t="s">
        <v>4434</v>
      </c>
      <c r="E793" s="8" t="s">
        <v>4435</v>
      </c>
      <c r="F793" s="8"/>
      <c r="G793" s="6" t="s">
        <v>51</v>
      </c>
      <c r="H793" s="6" t="s">
        <v>84</v>
      </c>
      <c r="I793" s="8" t="s">
        <v>801</v>
      </c>
      <c r="J793" s="9">
        <v>1</v>
      </c>
      <c r="K793" s="9">
        <v>98</v>
      </c>
      <c r="L793" s="9">
        <v>2021</v>
      </c>
      <c r="M793" s="8" t="s">
        <v>4436</v>
      </c>
      <c r="N793" s="8" t="s">
        <v>40</v>
      </c>
      <c r="O793" s="8" t="s">
        <v>41</v>
      </c>
      <c r="P793" s="6" t="s">
        <v>803</v>
      </c>
      <c r="Q793" s="8" t="s">
        <v>43</v>
      </c>
      <c r="R793" s="10" t="s">
        <v>4427</v>
      </c>
      <c r="S793" s="11"/>
      <c r="T793" s="6"/>
      <c r="U793" s="28" t="str">
        <f>HYPERLINK("https://media.infra-m.ru/1814/1814619/cover/1814619.jpg", "Обложка")</f>
        <v>Обложка</v>
      </c>
      <c r="V793" s="28" t="str">
        <f>HYPERLINK("https://znanium.com/catalog/product/1962499", "Ознакомиться")</f>
        <v>Ознакомиться</v>
      </c>
      <c r="W793" s="8"/>
      <c r="X793" s="6"/>
      <c r="Y793" s="6"/>
      <c r="Z793" s="6"/>
      <c r="AA793" s="6" t="s">
        <v>2300</v>
      </c>
    </row>
    <row r="794" spans="1:27" s="4" customFormat="1" ht="42" customHeight="1">
      <c r="A794" s="5">
        <v>0</v>
      </c>
      <c r="B794" s="6" t="s">
        <v>4437</v>
      </c>
      <c r="C794" s="7">
        <v>420</v>
      </c>
      <c r="D794" s="8" t="s">
        <v>4438</v>
      </c>
      <c r="E794" s="8" t="s">
        <v>4439</v>
      </c>
      <c r="F794" s="8" t="s">
        <v>799</v>
      </c>
      <c r="G794" s="6" t="s">
        <v>51</v>
      </c>
      <c r="H794" s="6" t="s">
        <v>84</v>
      </c>
      <c r="I794" s="8" t="s">
        <v>801</v>
      </c>
      <c r="J794" s="9">
        <v>1</v>
      </c>
      <c r="K794" s="9">
        <v>100</v>
      </c>
      <c r="L794" s="9">
        <v>2022</v>
      </c>
      <c r="M794" s="8" t="s">
        <v>4440</v>
      </c>
      <c r="N794" s="8" t="s">
        <v>40</v>
      </c>
      <c r="O794" s="8" t="s">
        <v>41</v>
      </c>
      <c r="P794" s="6" t="s">
        <v>803</v>
      </c>
      <c r="Q794" s="8" t="s">
        <v>43</v>
      </c>
      <c r="R794" s="10" t="s">
        <v>4427</v>
      </c>
      <c r="S794" s="11"/>
      <c r="T794" s="6"/>
      <c r="U794" s="28" t="str">
        <f>HYPERLINK("https://media.infra-m.ru/1866/1866823/cover/1866823.jpg", "Обложка")</f>
        <v>Обложка</v>
      </c>
      <c r="V794" s="28" t="str">
        <f>HYPERLINK("https://znanium.com/catalog/product/1962499", "Ознакомиться")</f>
        <v>Ознакомиться</v>
      </c>
      <c r="W794" s="8"/>
      <c r="X794" s="6"/>
      <c r="Y794" s="6"/>
      <c r="Z794" s="6"/>
      <c r="AA794" s="6" t="s">
        <v>4441</v>
      </c>
    </row>
    <row r="795" spans="1:27" s="4" customFormat="1" ht="42" customHeight="1">
      <c r="A795" s="5">
        <v>0</v>
      </c>
      <c r="B795" s="6" t="s">
        <v>4442</v>
      </c>
      <c r="C795" s="7">
        <v>390</v>
      </c>
      <c r="D795" s="8" t="s">
        <v>4443</v>
      </c>
      <c r="E795" s="8" t="s">
        <v>4444</v>
      </c>
      <c r="F795" s="8"/>
      <c r="G795" s="6" t="s">
        <v>51</v>
      </c>
      <c r="H795" s="6" t="s">
        <v>84</v>
      </c>
      <c r="I795" s="8" t="s">
        <v>801</v>
      </c>
      <c r="J795" s="9">
        <v>1</v>
      </c>
      <c r="K795" s="9">
        <v>98</v>
      </c>
      <c r="L795" s="9">
        <v>2022</v>
      </c>
      <c r="M795" s="8" t="s">
        <v>4445</v>
      </c>
      <c r="N795" s="8" t="s">
        <v>40</v>
      </c>
      <c r="O795" s="8" t="s">
        <v>41</v>
      </c>
      <c r="P795" s="6" t="s">
        <v>803</v>
      </c>
      <c r="Q795" s="8" t="s">
        <v>43</v>
      </c>
      <c r="R795" s="10" t="s">
        <v>4427</v>
      </c>
      <c r="S795" s="11"/>
      <c r="T795" s="6"/>
      <c r="U795" s="28" t="str">
        <f>HYPERLINK("https://media.infra-m.ru/1844/1844856/cover/1844856.jpg", "Обложка")</f>
        <v>Обложка</v>
      </c>
      <c r="V795" s="28" t="str">
        <f>HYPERLINK("https://znanium.com/catalog/product/1962499", "Ознакомиться")</f>
        <v>Ознакомиться</v>
      </c>
      <c r="W795" s="8"/>
      <c r="X795" s="6"/>
      <c r="Y795" s="6"/>
      <c r="Z795" s="6"/>
      <c r="AA795" s="6" t="s">
        <v>2605</v>
      </c>
    </row>
    <row r="796" spans="1:27" s="4" customFormat="1" ht="42" customHeight="1">
      <c r="A796" s="5">
        <v>0</v>
      </c>
      <c r="B796" s="6" t="s">
        <v>4446</v>
      </c>
      <c r="C796" s="13">
        <v>1010</v>
      </c>
      <c r="D796" s="8" t="s">
        <v>4447</v>
      </c>
      <c r="E796" s="8" t="s">
        <v>4448</v>
      </c>
      <c r="F796" s="8" t="s">
        <v>4449</v>
      </c>
      <c r="G796" s="6" t="s">
        <v>37</v>
      </c>
      <c r="H796" s="6" t="s">
        <v>84</v>
      </c>
      <c r="I796" s="8" t="s">
        <v>251</v>
      </c>
      <c r="J796" s="9">
        <v>1</v>
      </c>
      <c r="K796" s="9">
        <v>224</v>
      </c>
      <c r="L796" s="9">
        <v>2023</v>
      </c>
      <c r="M796" s="8" t="s">
        <v>4450</v>
      </c>
      <c r="N796" s="8" t="s">
        <v>40</v>
      </c>
      <c r="O796" s="8" t="s">
        <v>41</v>
      </c>
      <c r="P796" s="6" t="s">
        <v>42</v>
      </c>
      <c r="Q796" s="8" t="s">
        <v>43</v>
      </c>
      <c r="R796" s="10" t="s">
        <v>310</v>
      </c>
      <c r="S796" s="11"/>
      <c r="T796" s="6"/>
      <c r="U796" s="28" t="str">
        <f>HYPERLINK("https://media.infra-m.ru/1969/1969538/cover/1969538.jpg", "Обложка")</f>
        <v>Обложка</v>
      </c>
      <c r="V796" s="28" t="str">
        <f>HYPERLINK("https://znanium.com/catalog/product/1969538", "Ознакомиться")</f>
        <v>Ознакомиться</v>
      </c>
      <c r="W796" s="8" t="s">
        <v>4451</v>
      </c>
      <c r="X796" s="6"/>
      <c r="Y796" s="6"/>
      <c r="Z796" s="6"/>
      <c r="AA796" s="6" t="s">
        <v>171</v>
      </c>
    </row>
    <row r="797" spans="1:27" s="4" customFormat="1" ht="42" customHeight="1">
      <c r="A797" s="5">
        <v>0</v>
      </c>
      <c r="B797" s="6" t="s">
        <v>4452</v>
      </c>
      <c r="C797" s="7">
        <v>750</v>
      </c>
      <c r="D797" s="8" t="s">
        <v>4453</v>
      </c>
      <c r="E797" s="8" t="s">
        <v>4454</v>
      </c>
      <c r="F797" s="8" t="s">
        <v>593</v>
      </c>
      <c r="G797" s="6" t="s">
        <v>51</v>
      </c>
      <c r="H797" s="6" t="s">
        <v>38</v>
      </c>
      <c r="I797" s="8"/>
      <c r="J797" s="9">
        <v>1</v>
      </c>
      <c r="K797" s="9">
        <v>166</v>
      </c>
      <c r="L797" s="9">
        <v>2023</v>
      </c>
      <c r="M797" s="8" t="s">
        <v>4455</v>
      </c>
      <c r="N797" s="8" t="s">
        <v>40</v>
      </c>
      <c r="O797" s="8" t="s">
        <v>41</v>
      </c>
      <c r="P797" s="6" t="s">
        <v>42</v>
      </c>
      <c r="Q797" s="8" t="s">
        <v>43</v>
      </c>
      <c r="R797" s="10" t="s">
        <v>113</v>
      </c>
      <c r="S797" s="11"/>
      <c r="T797" s="6"/>
      <c r="U797" s="28" t="str">
        <f>HYPERLINK("https://media.infra-m.ru/1893/1893872/cover/1893872.jpg", "Обложка")</f>
        <v>Обложка</v>
      </c>
      <c r="V797" s="28" t="str">
        <f>HYPERLINK("https://znanium.com/catalog/product/1893872", "Ознакомиться")</f>
        <v>Ознакомиться</v>
      </c>
      <c r="W797" s="8" t="s">
        <v>114</v>
      </c>
      <c r="X797" s="6"/>
      <c r="Y797" s="6"/>
      <c r="Z797" s="6"/>
      <c r="AA797" s="6" t="s">
        <v>148</v>
      </c>
    </row>
    <row r="798" spans="1:27" s="4" customFormat="1" ht="51.95" customHeight="1">
      <c r="A798" s="5">
        <v>0</v>
      </c>
      <c r="B798" s="6" t="s">
        <v>4456</v>
      </c>
      <c r="C798" s="13">
        <v>1084.9000000000001</v>
      </c>
      <c r="D798" s="8" t="s">
        <v>4457</v>
      </c>
      <c r="E798" s="8" t="s">
        <v>4458</v>
      </c>
      <c r="F798" s="8" t="s">
        <v>3164</v>
      </c>
      <c r="G798" s="6" t="s">
        <v>51</v>
      </c>
      <c r="H798" s="6" t="s">
        <v>38</v>
      </c>
      <c r="I798" s="8"/>
      <c r="J798" s="9">
        <v>1</v>
      </c>
      <c r="K798" s="9">
        <v>240</v>
      </c>
      <c r="L798" s="9">
        <v>2022</v>
      </c>
      <c r="M798" s="8" t="s">
        <v>4459</v>
      </c>
      <c r="N798" s="8" t="s">
        <v>40</v>
      </c>
      <c r="O798" s="8" t="s">
        <v>41</v>
      </c>
      <c r="P798" s="6" t="s">
        <v>42</v>
      </c>
      <c r="Q798" s="8" t="s">
        <v>43</v>
      </c>
      <c r="R798" s="10" t="s">
        <v>452</v>
      </c>
      <c r="S798" s="11"/>
      <c r="T798" s="6"/>
      <c r="U798" s="28" t="str">
        <f>HYPERLINK("https://media.infra-m.ru/1913/1913519/cover/1913519.jpg", "Обложка")</f>
        <v>Обложка</v>
      </c>
      <c r="V798" s="28" t="str">
        <f>HYPERLINK("https://znanium.com/catalog/product/1902900", "Ознакомиться")</f>
        <v>Ознакомиться</v>
      </c>
      <c r="W798" s="8" t="s">
        <v>3167</v>
      </c>
      <c r="X798" s="6"/>
      <c r="Y798" s="6"/>
      <c r="Z798" s="6"/>
      <c r="AA798" s="6" t="s">
        <v>422</v>
      </c>
    </row>
    <row r="799" spans="1:27" s="4" customFormat="1" ht="51.95" customHeight="1">
      <c r="A799" s="5">
        <v>0</v>
      </c>
      <c r="B799" s="6" t="s">
        <v>4460</v>
      </c>
      <c r="C799" s="7">
        <v>650</v>
      </c>
      <c r="D799" s="8" t="s">
        <v>4461</v>
      </c>
      <c r="E799" s="8" t="s">
        <v>4462</v>
      </c>
      <c r="F799" s="8" t="s">
        <v>4463</v>
      </c>
      <c r="G799" s="6" t="s">
        <v>51</v>
      </c>
      <c r="H799" s="6" t="s">
        <v>38</v>
      </c>
      <c r="I799" s="8"/>
      <c r="J799" s="9">
        <v>1</v>
      </c>
      <c r="K799" s="9">
        <v>144</v>
      </c>
      <c r="L799" s="9">
        <v>2023</v>
      </c>
      <c r="M799" s="8" t="s">
        <v>4464</v>
      </c>
      <c r="N799" s="8" t="s">
        <v>40</v>
      </c>
      <c r="O799" s="8" t="s">
        <v>41</v>
      </c>
      <c r="P799" s="6" t="s">
        <v>42</v>
      </c>
      <c r="Q799" s="8" t="s">
        <v>43</v>
      </c>
      <c r="R799" s="10" t="s">
        <v>4465</v>
      </c>
      <c r="S799" s="11"/>
      <c r="T799" s="6"/>
      <c r="U799" s="28" t="str">
        <f>HYPERLINK("https://media.infra-m.ru/2018/2018246/cover/2018246.jpg", "Обложка")</f>
        <v>Обложка</v>
      </c>
      <c r="V799" s="28" t="str">
        <f>HYPERLINK("https://znanium.com/catalog/product/2018246", "Ознакомиться")</f>
        <v>Ознакомиться</v>
      </c>
      <c r="W799" s="8" t="s">
        <v>114</v>
      </c>
      <c r="X799" s="6"/>
      <c r="Y799" s="6"/>
      <c r="Z799" s="6"/>
      <c r="AA799" s="6" t="s">
        <v>88</v>
      </c>
    </row>
    <row r="800" spans="1:27" s="4" customFormat="1" ht="44.1" customHeight="1">
      <c r="A800" s="5">
        <v>0</v>
      </c>
      <c r="B800" s="6" t="s">
        <v>4466</v>
      </c>
      <c r="C800" s="7">
        <v>924</v>
      </c>
      <c r="D800" s="8" t="s">
        <v>4467</v>
      </c>
      <c r="E800" s="8" t="s">
        <v>4468</v>
      </c>
      <c r="F800" s="8" t="s">
        <v>4469</v>
      </c>
      <c r="G800" s="6" t="s">
        <v>51</v>
      </c>
      <c r="H800" s="6" t="s">
        <v>38</v>
      </c>
      <c r="I800" s="8"/>
      <c r="J800" s="9">
        <v>1</v>
      </c>
      <c r="K800" s="9">
        <v>240</v>
      </c>
      <c r="L800" s="9">
        <v>2024</v>
      </c>
      <c r="M800" s="8" t="s">
        <v>4470</v>
      </c>
      <c r="N800" s="8" t="s">
        <v>40</v>
      </c>
      <c r="O800" s="8" t="s">
        <v>41</v>
      </c>
      <c r="P800" s="6" t="s">
        <v>42</v>
      </c>
      <c r="Q800" s="8" t="s">
        <v>43</v>
      </c>
      <c r="R800" s="10" t="s">
        <v>718</v>
      </c>
      <c r="S800" s="11"/>
      <c r="T800" s="6"/>
      <c r="U800" s="28" t="str">
        <f>HYPERLINK("https://media.infra-m.ru/2045/2045896/cover/2045896.jpg", "Обложка")</f>
        <v>Обложка</v>
      </c>
      <c r="V800" s="28" t="str">
        <f>HYPERLINK("https://znanium.com/catalog/product/1045651", "Ознакомиться")</f>
        <v>Ознакомиться</v>
      </c>
      <c r="W800" s="8" t="s">
        <v>78</v>
      </c>
      <c r="X800" s="6"/>
      <c r="Y800" s="6"/>
      <c r="Z800" s="6"/>
      <c r="AA800" s="6" t="s">
        <v>719</v>
      </c>
    </row>
    <row r="801" spans="1:27" s="4" customFormat="1" ht="51.95" customHeight="1">
      <c r="A801" s="5">
        <v>0</v>
      </c>
      <c r="B801" s="6" t="s">
        <v>4471</v>
      </c>
      <c r="C801" s="13">
        <v>1370</v>
      </c>
      <c r="D801" s="8" t="s">
        <v>4472</v>
      </c>
      <c r="E801" s="8" t="s">
        <v>4473</v>
      </c>
      <c r="F801" s="8" t="s">
        <v>4474</v>
      </c>
      <c r="G801" s="6" t="s">
        <v>58</v>
      </c>
      <c r="H801" s="6" t="s">
        <v>38</v>
      </c>
      <c r="I801" s="8"/>
      <c r="J801" s="9">
        <v>1</v>
      </c>
      <c r="K801" s="9">
        <v>400</v>
      </c>
      <c r="L801" s="9">
        <v>2020</v>
      </c>
      <c r="M801" s="8" t="s">
        <v>4475</v>
      </c>
      <c r="N801" s="8" t="s">
        <v>40</v>
      </c>
      <c r="O801" s="8" t="s">
        <v>41</v>
      </c>
      <c r="P801" s="6" t="s">
        <v>42</v>
      </c>
      <c r="Q801" s="8" t="s">
        <v>43</v>
      </c>
      <c r="R801" s="10" t="s">
        <v>2614</v>
      </c>
      <c r="S801" s="11"/>
      <c r="T801" s="6"/>
      <c r="U801" s="28" t="str">
        <f>HYPERLINK("https://media.infra-m.ru/1037/1037769/cover/1037769.jpg", "Обложка")</f>
        <v>Обложка</v>
      </c>
      <c r="V801" s="28" t="str">
        <f>HYPERLINK("https://znanium.com/catalog/product/1037769", "Ознакомиться")</f>
        <v>Ознакомиться</v>
      </c>
      <c r="W801" s="8" t="s">
        <v>78</v>
      </c>
      <c r="X801" s="6"/>
      <c r="Y801" s="6"/>
      <c r="Z801" s="6"/>
      <c r="AA801" s="6" t="s">
        <v>622</v>
      </c>
    </row>
    <row r="802" spans="1:27" s="4" customFormat="1" ht="44.1" customHeight="1">
      <c r="A802" s="5">
        <v>0</v>
      </c>
      <c r="B802" s="6" t="s">
        <v>4476</v>
      </c>
      <c r="C802" s="7">
        <v>660</v>
      </c>
      <c r="D802" s="8" t="s">
        <v>4477</v>
      </c>
      <c r="E802" s="8" t="s">
        <v>4478</v>
      </c>
      <c r="F802" s="8" t="s">
        <v>3988</v>
      </c>
      <c r="G802" s="6" t="s">
        <v>37</v>
      </c>
      <c r="H802" s="6" t="s">
        <v>38</v>
      </c>
      <c r="I802" s="8"/>
      <c r="J802" s="9">
        <v>1</v>
      </c>
      <c r="K802" s="9">
        <v>148</v>
      </c>
      <c r="L802" s="9">
        <v>2023</v>
      </c>
      <c r="M802" s="8" t="s">
        <v>4479</v>
      </c>
      <c r="N802" s="8" t="s">
        <v>40</v>
      </c>
      <c r="O802" s="8" t="s">
        <v>41</v>
      </c>
      <c r="P802" s="6" t="s">
        <v>42</v>
      </c>
      <c r="Q802" s="8" t="s">
        <v>43</v>
      </c>
      <c r="R802" s="10" t="s">
        <v>4480</v>
      </c>
      <c r="S802" s="11"/>
      <c r="T802" s="6"/>
      <c r="U802" s="28" t="str">
        <f>HYPERLINK("https://media.infra-m.ru/1979/1979150/cover/1979150.jpg", "Обложка")</f>
        <v>Обложка</v>
      </c>
      <c r="V802" s="28" t="str">
        <f>HYPERLINK("https://znanium.com/catalog/product/1979150", "Ознакомиться")</f>
        <v>Ознакомиться</v>
      </c>
      <c r="W802" s="8" t="s">
        <v>78</v>
      </c>
      <c r="X802" s="6"/>
      <c r="Y802" s="6"/>
      <c r="Z802" s="6"/>
      <c r="AA802" s="6" t="s">
        <v>46</v>
      </c>
    </row>
    <row r="803" spans="1:27" s="4" customFormat="1" ht="44.1" customHeight="1">
      <c r="A803" s="5">
        <v>0</v>
      </c>
      <c r="B803" s="6" t="s">
        <v>4481</v>
      </c>
      <c r="C803" s="13">
        <v>1750</v>
      </c>
      <c r="D803" s="8" t="s">
        <v>4482</v>
      </c>
      <c r="E803" s="8" t="s">
        <v>4483</v>
      </c>
      <c r="F803" s="8" t="s">
        <v>4484</v>
      </c>
      <c r="G803" s="6" t="s">
        <v>37</v>
      </c>
      <c r="H803" s="6" t="s">
        <v>38</v>
      </c>
      <c r="I803" s="8"/>
      <c r="J803" s="9">
        <v>1</v>
      </c>
      <c r="K803" s="9">
        <v>448</v>
      </c>
      <c r="L803" s="9">
        <v>2022</v>
      </c>
      <c r="M803" s="8" t="s">
        <v>4485</v>
      </c>
      <c r="N803" s="8" t="s">
        <v>40</v>
      </c>
      <c r="O803" s="8" t="s">
        <v>41</v>
      </c>
      <c r="P803" s="6" t="s">
        <v>42</v>
      </c>
      <c r="Q803" s="8" t="s">
        <v>43</v>
      </c>
      <c r="R803" s="10" t="s">
        <v>3522</v>
      </c>
      <c r="S803" s="11"/>
      <c r="T803" s="6"/>
      <c r="U803" s="28" t="str">
        <f>HYPERLINK("https://media.infra-m.ru/1864/1864968/cover/1864968.jpg", "Обложка")</f>
        <v>Обложка</v>
      </c>
      <c r="V803" s="28" t="str">
        <f>HYPERLINK("https://znanium.com/catalog/product/1864968", "Ознакомиться")</f>
        <v>Ознакомиться</v>
      </c>
      <c r="W803" s="8" t="s">
        <v>78</v>
      </c>
      <c r="X803" s="6"/>
      <c r="Y803" s="6"/>
      <c r="Z803" s="6"/>
      <c r="AA803" s="6" t="s">
        <v>62</v>
      </c>
    </row>
    <row r="804" spans="1:27" s="4" customFormat="1" ht="42" customHeight="1">
      <c r="A804" s="5">
        <v>0</v>
      </c>
      <c r="B804" s="6" t="s">
        <v>4486</v>
      </c>
      <c r="C804" s="13">
        <v>1010</v>
      </c>
      <c r="D804" s="8" t="s">
        <v>4487</v>
      </c>
      <c r="E804" s="8" t="s">
        <v>4488</v>
      </c>
      <c r="F804" s="8" t="s">
        <v>3988</v>
      </c>
      <c r="G804" s="6" t="s">
        <v>58</v>
      </c>
      <c r="H804" s="6" t="s">
        <v>38</v>
      </c>
      <c r="I804" s="8"/>
      <c r="J804" s="9">
        <v>1</v>
      </c>
      <c r="K804" s="9">
        <v>288</v>
      </c>
      <c r="L804" s="9">
        <v>2020</v>
      </c>
      <c r="M804" s="8" t="s">
        <v>4489</v>
      </c>
      <c r="N804" s="8" t="s">
        <v>40</v>
      </c>
      <c r="O804" s="8" t="s">
        <v>41</v>
      </c>
      <c r="P804" s="6" t="s">
        <v>42</v>
      </c>
      <c r="Q804" s="8" t="s">
        <v>43</v>
      </c>
      <c r="R804" s="10" t="s">
        <v>310</v>
      </c>
      <c r="S804" s="11"/>
      <c r="T804" s="6"/>
      <c r="U804" s="28" t="str">
        <f>HYPERLINK("https://media.infra-m.ru/1064/1064117/cover/1064117.jpg", "Обложка")</f>
        <v>Обложка</v>
      </c>
      <c r="V804" s="28" t="str">
        <f>HYPERLINK("https://znanium.com/catalog/product/1064117", "Ознакомиться")</f>
        <v>Ознакомиться</v>
      </c>
      <c r="W804" s="8" t="s">
        <v>78</v>
      </c>
      <c r="X804" s="6"/>
      <c r="Y804" s="6"/>
      <c r="Z804" s="6"/>
      <c r="AA804" s="6" t="s">
        <v>719</v>
      </c>
    </row>
    <row r="805" spans="1:27" s="4" customFormat="1" ht="51.95" customHeight="1">
      <c r="A805" s="5">
        <v>0</v>
      </c>
      <c r="B805" s="6" t="s">
        <v>4490</v>
      </c>
      <c r="C805" s="13">
        <v>1950</v>
      </c>
      <c r="D805" s="8" t="s">
        <v>4491</v>
      </c>
      <c r="E805" s="8" t="s">
        <v>4492</v>
      </c>
      <c r="F805" s="8" t="s">
        <v>4493</v>
      </c>
      <c r="G805" s="6" t="s">
        <v>37</v>
      </c>
      <c r="H805" s="6" t="s">
        <v>38</v>
      </c>
      <c r="I805" s="8"/>
      <c r="J805" s="9">
        <v>1</v>
      </c>
      <c r="K805" s="9">
        <v>512</v>
      </c>
      <c r="L805" s="9">
        <v>2022</v>
      </c>
      <c r="M805" s="8" t="s">
        <v>4494</v>
      </c>
      <c r="N805" s="8" t="s">
        <v>40</v>
      </c>
      <c r="O805" s="8" t="s">
        <v>41</v>
      </c>
      <c r="P805" s="6" t="s">
        <v>95</v>
      </c>
      <c r="Q805" s="8" t="s">
        <v>76</v>
      </c>
      <c r="R805" s="10" t="s">
        <v>4495</v>
      </c>
      <c r="S805" s="11"/>
      <c r="T805" s="6"/>
      <c r="U805" s="28" t="str">
        <f>HYPERLINK("https://media.infra-m.ru/1818/1818483/cover/1818483.jpg", "Обложка")</f>
        <v>Обложка</v>
      </c>
      <c r="V805" s="28" t="str">
        <f>HYPERLINK("https://znanium.com/catalog/product/1818483", "Ознакомиться")</f>
        <v>Ознакомиться</v>
      </c>
      <c r="W805" s="8" t="s">
        <v>78</v>
      </c>
      <c r="X805" s="6"/>
      <c r="Y805" s="6"/>
      <c r="Z805" s="6"/>
      <c r="AA805" s="6" t="s">
        <v>820</v>
      </c>
    </row>
    <row r="806" spans="1:27" s="4" customFormat="1" ht="51.95" customHeight="1">
      <c r="A806" s="5">
        <v>0</v>
      </c>
      <c r="B806" s="6" t="s">
        <v>4496</v>
      </c>
      <c r="C806" s="7">
        <v>690</v>
      </c>
      <c r="D806" s="8" t="s">
        <v>4497</v>
      </c>
      <c r="E806" s="8" t="s">
        <v>4498</v>
      </c>
      <c r="F806" s="8" t="s">
        <v>3285</v>
      </c>
      <c r="G806" s="6" t="s">
        <v>37</v>
      </c>
      <c r="H806" s="6" t="s">
        <v>52</v>
      </c>
      <c r="I806" s="8" t="s">
        <v>185</v>
      </c>
      <c r="J806" s="9">
        <v>1</v>
      </c>
      <c r="K806" s="9">
        <v>175</v>
      </c>
      <c r="L806" s="9">
        <v>2021</v>
      </c>
      <c r="M806" s="8" t="s">
        <v>4499</v>
      </c>
      <c r="N806" s="8" t="s">
        <v>40</v>
      </c>
      <c r="O806" s="8" t="s">
        <v>41</v>
      </c>
      <c r="P806" s="6" t="s">
        <v>75</v>
      </c>
      <c r="Q806" s="8" t="s">
        <v>76</v>
      </c>
      <c r="R806" s="10" t="s">
        <v>3939</v>
      </c>
      <c r="S806" s="11" t="s">
        <v>3292</v>
      </c>
      <c r="T806" s="6"/>
      <c r="U806" s="28" t="str">
        <f>HYPERLINK("https://media.infra-m.ru/1639/1639816/cover/1639816.jpg", "Обложка")</f>
        <v>Обложка</v>
      </c>
      <c r="V806" s="28" t="str">
        <f>HYPERLINK("https://znanium.com/catalog/product/1836404", "Ознакомиться")</f>
        <v>Ознакомиться</v>
      </c>
      <c r="W806" s="8" t="s">
        <v>3287</v>
      </c>
      <c r="X806" s="6"/>
      <c r="Y806" s="6"/>
      <c r="Z806" s="6"/>
      <c r="AA806" s="6" t="s">
        <v>215</v>
      </c>
    </row>
    <row r="807" spans="1:27" s="4" customFormat="1" ht="51.95" customHeight="1">
      <c r="A807" s="5">
        <v>0</v>
      </c>
      <c r="B807" s="6" t="s">
        <v>4500</v>
      </c>
      <c r="C807" s="7">
        <v>814</v>
      </c>
      <c r="D807" s="8" t="s">
        <v>4501</v>
      </c>
      <c r="E807" s="8" t="s">
        <v>4492</v>
      </c>
      <c r="F807" s="8" t="s">
        <v>3285</v>
      </c>
      <c r="G807" s="6" t="s">
        <v>37</v>
      </c>
      <c r="H807" s="6" t="s">
        <v>52</v>
      </c>
      <c r="I807" s="8" t="s">
        <v>120</v>
      </c>
      <c r="J807" s="9">
        <v>1</v>
      </c>
      <c r="K807" s="9">
        <v>176</v>
      </c>
      <c r="L807" s="9">
        <v>2024</v>
      </c>
      <c r="M807" s="8" t="s">
        <v>4502</v>
      </c>
      <c r="N807" s="8" t="s">
        <v>40</v>
      </c>
      <c r="O807" s="8" t="s">
        <v>41</v>
      </c>
      <c r="P807" s="6" t="s">
        <v>75</v>
      </c>
      <c r="Q807" s="8" t="s">
        <v>76</v>
      </c>
      <c r="R807" s="10" t="s">
        <v>3939</v>
      </c>
      <c r="S807" s="11"/>
      <c r="T807" s="6"/>
      <c r="U807" s="28" t="str">
        <f>HYPERLINK("https://media.infra-m.ru/2079/2079333/cover/2079333.jpg", "Обложка")</f>
        <v>Обложка</v>
      </c>
      <c r="V807" s="28" t="str">
        <f>HYPERLINK("https://znanium.com/catalog/product/1836404", "Ознакомиться")</f>
        <v>Ознакомиться</v>
      </c>
      <c r="W807" s="8" t="s">
        <v>3287</v>
      </c>
      <c r="X807" s="6"/>
      <c r="Y807" s="6"/>
      <c r="Z807" s="6"/>
      <c r="AA807" s="6" t="s">
        <v>2431</v>
      </c>
    </row>
    <row r="808" spans="1:27" s="4" customFormat="1" ht="51.95" customHeight="1">
      <c r="A808" s="5">
        <v>0</v>
      </c>
      <c r="B808" s="6" t="s">
        <v>4503</v>
      </c>
      <c r="C808" s="13">
        <v>1300</v>
      </c>
      <c r="D808" s="8" t="s">
        <v>4504</v>
      </c>
      <c r="E808" s="8" t="s">
        <v>4505</v>
      </c>
      <c r="F808" s="8" t="s">
        <v>799</v>
      </c>
      <c r="G808" s="6" t="s">
        <v>37</v>
      </c>
      <c r="H808" s="6" t="s">
        <v>84</v>
      </c>
      <c r="I808" s="8" t="s">
        <v>801</v>
      </c>
      <c r="J808" s="9">
        <v>1</v>
      </c>
      <c r="K808" s="9">
        <v>289</v>
      </c>
      <c r="L808" s="9">
        <v>2023</v>
      </c>
      <c r="M808" s="8" t="s">
        <v>4506</v>
      </c>
      <c r="N808" s="8" t="s">
        <v>40</v>
      </c>
      <c r="O808" s="8" t="s">
        <v>41</v>
      </c>
      <c r="P808" s="6" t="s">
        <v>4507</v>
      </c>
      <c r="Q808" s="8" t="s">
        <v>43</v>
      </c>
      <c r="R808" s="10" t="s">
        <v>4508</v>
      </c>
      <c r="S808" s="11"/>
      <c r="T808" s="6"/>
      <c r="U808" s="28" t="str">
        <f>HYPERLINK("https://media.infra-m.ru/2050/2050500/cover/2050500.jpg", "Обложка")</f>
        <v>Обложка</v>
      </c>
      <c r="V808" s="28" t="str">
        <f>HYPERLINK("https://znanium.com/catalog/product/2050500", "Ознакомиться")</f>
        <v>Ознакомиться</v>
      </c>
      <c r="W808" s="8"/>
      <c r="X808" s="6"/>
      <c r="Y808" s="6"/>
      <c r="Z808" s="6"/>
      <c r="AA808" s="6" t="s">
        <v>408</v>
      </c>
    </row>
    <row r="809" spans="1:27" s="4" customFormat="1" ht="51.95" customHeight="1">
      <c r="A809" s="5">
        <v>0</v>
      </c>
      <c r="B809" s="6" t="s">
        <v>4509</v>
      </c>
      <c r="C809" s="13">
        <v>1950</v>
      </c>
      <c r="D809" s="8" t="s">
        <v>4510</v>
      </c>
      <c r="E809" s="8" t="s">
        <v>4511</v>
      </c>
      <c r="F809" s="8" t="s">
        <v>4512</v>
      </c>
      <c r="G809" s="6" t="s">
        <v>37</v>
      </c>
      <c r="H809" s="6" t="s">
        <v>38</v>
      </c>
      <c r="I809" s="8"/>
      <c r="J809" s="9">
        <v>1</v>
      </c>
      <c r="K809" s="9">
        <v>528</v>
      </c>
      <c r="L809" s="9">
        <v>2021</v>
      </c>
      <c r="M809" s="8" t="s">
        <v>4513</v>
      </c>
      <c r="N809" s="8" t="s">
        <v>40</v>
      </c>
      <c r="O809" s="8" t="s">
        <v>41</v>
      </c>
      <c r="P809" s="6" t="s">
        <v>42</v>
      </c>
      <c r="Q809" s="8" t="s">
        <v>2084</v>
      </c>
      <c r="R809" s="10" t="s">
        <v>3107</v>
      </c>
      <c r="S809" s="11"/>
      <c r="T809" s="6"/>
      <c r="U809" s="28" t="str">
        <f>HYPERLINK("https://media.infra-m.ru/1239/1239233/cover/1239233.jpg", "Обложка")</f>
        <v>Обложка</v>
      </c>
      <c r="V809" s="28" t="str">
        <f>HYPERLINK("https://znanium.com/catalog/product/1048440", "Ознакомиться")</f>
        <v>Ознакомиться</v>
      </c>
      <c r="W809" s="8" t="s">
        <v>114</v>
      </c>
      <c r="X809" s="6"/>
      <c r="Y809" s="6"/>
      <c r="Z809" s="6"/>
      <c r="AA809" s="6" t="s">
        <v>88</v>
      </c>
    </row>
    <row r="810" spans="1:27" s="4" customFormat="1" ht="51.95" customHeight="1">
      <c r="A810" s="5">
        <v>0</v>
      </c>
      <c r="B810" s="6" t="s">
        <v>4514</v>
      </c>
      <c r="C810" s="7">
        <v>974.9</v>
      </c>
      <c r="D810" s="8" t="s">
        <v>4515</v>
      </c>
      <c r="E810" s="8" t="s">
        <v>4516</v>
      </c>
      <c r="F810" s="8" t="s">
        <v>4517</v>
      </c>
      <c r="G810" s="6" t="s">
        <v>58</v>
      </c>
      <c r="H810" s="6" t="s">
        <v>1916</v>
      </c>
      <c r="I810" s="8"/>
      <c r="J810" s="9">
        <v>1</v>
      </c>
      <c r="K810" s="9">
        <v>256</v>
      </c>
      <c r="L810" s="9">
        <v>2022</v>
      </c>
      <c r="M810" s="8" t="s">
        <v>4518</v>
      </c>
      <c r="N810" s="8" t="s">
        <v>40</v>
      </c>
      <c r="O810" s="8" t="s">
        <v>41</v>
      </c>
      <c r="P810" s="6" t="s">
        <v>75</v>
      </c>
      <c r="Q810" s="8" t="s">
        <v>76</v>
      </c>
      <c r="R810" s="10" t="s">
        <v>4519</v>
      </c>
      <c r="S810" s="11"/>
      <c r="T810" s="6"/>
      <c r="U810" s="28" t="str">
        <f>HYPERLINK("https://media.infra-m.ru/1844/1844312/cover/1844312.jpg", "Обложка")</f>
        <v>Обложка</v>
      </c>
      <c r="V810" s="28" t="str">
        <f>HYPERLINK("https://znanium.com/catalog/product/1844312", "Ознакомиться")</f>
        <v>Ознакомиться</v>
      </c>
      <c r="W810" s="8" t="s">
        <v>45</v>
      </c>
      <c r="X810" s="6"/>
      <c r="Y810" s="6"/>
      <c r="Z810" s="6"/>
      <c r="AA810" s="6" t="s">
        <v>289</v>
      </c>
    </row>
    <row r="811" spans="1:27" s="4" customFormat="1" ht="42" customHeight="1">
      <c r="A811" s="5">
        <v>0</v>
      </c>
      <c r="B811" s="6" t="s">
        <v>4520</v>
      </c>
      <c r="C811" s="7">
        <v>634</v>
      </c>
      <c r="D811" s="8" t="s">
        <v>4521</v>
      </c>
      <c r="E811" s="8" t="s">
        <v>4522</v>
      </c>
      <c r="F811" s="8" t="s">
        <v>4523</v>
      </c>
      <c r="G811" s="6" t="s">
        <v>58</v>
      </c>
      <c r="H811" s="6" t="s">
        <v>38</v>
      </c>
      <c r="I811" s="8"/>
      <c r="J811" s="9">
        <v>1</v>
      </c>
      <c r="K811" s="9">
        <v>136</v>
      </c>
      <c r="L811" s="9">
        <v>2023</v>
      </c>
      <c r="M811" s="8" t="s">
        <v>4524</v>
      </c>
      <c r="N811" s="8" t="s">
        <v>40</v>
      </c>
      <c r="O811" s="8" t="s">
        <v>41</v>
      </c>
      <c r="P811" s="6" t="s">
        <v>42</v>
      </c>
      <c r="Q811" s="8" t="s">
        <v>43</v>
      </c>
      <c r="R811" s="10" t="s">
        <v>4525</v>
      </c>
      <c r="S811" s="11"/>
      <c r="T811" s="6"/>
      <c r="U811" s="28" t="str">
        <f>HYPERLINK("https://media.infra-m.ru/2045/2045921/cover/2045921.jpg", "Обложка")</f>
        <v>Обложка</v>
      </c>
      <c r="V811" s="28" t="str">
        <f>HYPERLINK("https://znanium.com/catalog/product/1875259", "Ознакомиться")</f>
        <v>Ознакомиться</v>
      </c>
      <c r="W811" s="8" t="s">
        <v>45</v>
      </c>
      <c r="X811" s="6"/>
      <c r="Y811" s="6"/>
      <c r="Z811" s="6"/>
      <c r="AA811" s="6" t="s">
        <v>62</v>
      </c>
    </row>
    <row r="812" spans="1:27" s="4" customFormat="1" ht="42" customHeight="1">
      <c r="A812" s="5">
        <v>0</v>
      </c>
      <c r="B812" s="6" t="s">
        <v>4526</v>
      </c>
      <c r="C812" s="7">
        <v>670</v>
      </c>
      <c r="D812" s="8" t="s">
        <v>4527</v>
      </c>
      <c r="E812" s="8" t="s">
        <v>4528</v>
      </c>
      <c r="F812" s="8" t="s">
        <v>4529</v>
      </c>
      <c r="G812" s="6" t="s">
        <v>51</v>
      </c>
      <c r="H812" s="6" t="s">
        <v>84</v>
      </c>
      <c r="I812" s="8" t="s">
        <v>251</v>
      </c>
      <c r="J812" s="9">
        <v>1</v>
      </c>
      <c r="K812" s="9">
        <v>158</v>
      </c>
      <c r="L812" s="9">
        <v>2022</v>
      </c>
      <c r="M812" s="8" t="s">
        <v>4530</v>
      </c>
      <c r="N812" s="8" t="s">
        <v>40</v>
      </c>
      <c r="O812" s="8" t="s">
        <v>41</v>
      </c>
      <c r="P812" s="6" t="s">
        <v>42</v>
      </c>
      <c r="Q812" s="8" t="s">
        <v>43</v>
      </c>
      <c r="R812" s="10" t="s">
        <v>113</v>
      </c>
      <c r="S812" s="11"/>
      <c r="T812" s="6"/>
      <c r="U812" s="28" t="str">
        <f>HYPERLINK("https://media.infra-m.ru/1869/1869671/cover/1869671.jpg", "Обложка")</f>
        <v>Обложка</v>
      </c>
      <c r="V812" s="28" t="str">
        <f>HYPERLINK("https://znanium.com/catalog/product/1869671", "Ознакомиться")</f>
        <v>Ознакомиться</v>
      </c>
      <c r="W812" s="8" t="s">
        <v>4531</v>
      </c>
      <c r="X812" s="6"/>
      <c r="Y812" s="6"/>
      <c r="Z812" s="6"/>
      <c r="AA812" s="6" t="s">
        <v>148</v>
      </c>
    </row>
    <row r="813" spans="1:27" s="4" customFormat="1" ht="42" customHeight="1">
      <c r="A813" s="5">
        <v>0</v>
      </c>
      <c r="B813" s="6" t="s">
        <v>4532</v>
      </c>
      <c r="C813" s="13">
        <v>1660</v>
      </c>
      <c r="D813" s="8" t="s">
        <v>4533</v>
      </c>
      <c r="E813" s="8" t="s">
        <v>4534</v>
      </c>
      <c r="F813" s="8" t="s">
        <v>4535</v>
      </c>
      <c r="G813" s="6" t="s">
        <v>37</v>
      </c>
      <c r="H813" s="6" t="s">
        <v>38</v>
      </c>
      <c r="I813" s="8"/>
      <c r="J813" s="9">
        <v>1</v>
      </c>
      <c r="K813" s="9">
        <v>368</v>
      </c>
      <c r="L813" s="9">
        <v>2023</v>
      </c>
      <c r="M813" s="8" t="s">
        <v>4536</v>
      </c>
      <c r="N813" s="8" t="s">
        <v>40</v>
      </c>
      <c r="O813" s="8" t="s">
        <v>41</v>
      </c>
      <c r="P813" s="6" t="s">
        <v>42</v>
      </c>
      <c r="Q813" s="8" t="s">
        <v>43</v>
      </c>
      <c r="R813" s="10" t="s">
        <v>1339</v>
      </c>
      <c r="S813" s="11"/>
      <c r="T813" s="6"/>
      <c r="U813" s="28" t="str">
        <f>HYPERLINK("https://media.infra-m.ru/1912/1912889/cover/1912889.jpg", "Обложка")</f>
        <v>Обложка</v>
      </c>
      <c r="V813" s="28" t="str">
        <f>HYPERLINK("https://znanium.com/catalog/product/1912889", "Ознакомиться")</f>
        <v>Ознакомиться</v>
      </c>
      <c r="W813" s="8" t="s">
        <v>78</v>
      </c>
      <c r="X813" s="6"/>
      <c r="Y813" s="6"/>
      <c r="Z813" s="6"/>
      <c r="AA813" s="6" t="s">
        <v>62</v>
      </c>
    </row>
    <row r="814" spans="1:27" s="4" customFormat="1" ht="51.95" customHeight="1">
      <c r="A814" s="5">
        <v>0</v>
      </c>
      <c r="B814" s="6" t="s">
        <v>4537</v>
      </c>
      <c r="C814" s="13">
        <v>1090</v>
      </c>
      <c r="D814" s="8" t="s">
        <v>4538</v>
      </c>
      <c r="E814" s="8" t="s">
        <v>4539</v>
      </c>
      <c r="F814" s="8" t="s">
        <v>4540</v>
      </c>
      <c r="G814" s="6" t="s">
        <v>37</v>
      </c>
      <c r="H814" s="6" t="s">
        <v>38</v>
      </c>
      <c r="I814" s="8"/>
      <c r="J814" s="9">
        <v>1</v>
      </c>
      <c r="K814" s="9">
        <v>288</v>
      </c>
      <c r="L814" s="9">
        <v>2022</v>
      </c>
      <c r="M814" s="8" t="s">
        <v>4541</v>
      </c>
      <c r="N814" s="8" t="s">
        <v>40</v>
      </c>
      <c r="O814" s="8" t="s">
        <v>41</v>
      </c>
      <c r="P814" s="6" t="s">
        <v>75</v>
      </c>
      <c r="Q814" s="8" t="s">
        <v>76</v>
      </c>
      <c r="R814" s="10" t="s">
        <v>1900</v>
      </c>
      <c r="S814" s="11"/>
      <c r="T814" s="6"/>
      <c r="U814" s="28" t="str">
        <f>HYPERLINK("https://media.infra-m.ru/1862/1862643/cover/1862643.jpg", "Обложка")</f>
        <v>Обложка</v>
      </c>
      <c r="V814" s="28" t="str">
        <f>HYPERLINK("https://znanium.com/catalog/product/1862643", "Ознакомиться")</f>
        <v>Ознакомиться</v>
      </c>
      <c r="W814" s="8" t="s">
        <v>1482</v>
      </c>
      <c r="X814" s="6"/>
      <c r="Y814" s="6"/>
      <c r="Z814" s="6"/>
      <c r="AA814" s="6" t="s">
        <v>215</v>
      </c>
    </row>
    <row r="815" spans="1:27" s="4" customFormat="1" ht="51.95" customHeight="1">
      <c r="A815" s="5">
        <v>0</v>
      </c>
      <c r="B815" s="6" t="s">
        <v>4542</v>
      </c>
      <c r="C815" s="13">
        <v>1190</v>
      </c>
      <c r="D815" s="8" t="s">
        <v>4543</v>
      </c>
      <c r="E815" s="8" t="s">
        <v>4544</v>
      </c>
      <c r="F815" s="8" t="s">
        <v>4545</v>
      </c>
      <c r="G815" s="6" t="s">
        <v>37</v>
      </c>
      <c r="H815" s="6" t="s">
        <v>38</v>
      </c>
      <c r="I815" s="8"/>
      <c r="J815" s="9">
        <v>1</v>
      </c>
      <c r="K815" s="9">
        <v>304</v>
      </c>
      <c r="L815" s="9">
        <v>2022</v>
      </c>
      <c r="M815" s="8" t="s">
        <v>4546</v>
      </c>
      <c r="N815" s="8" t="s">
        <v>40</v>
      </c>
      <c r="O815" s="8" t="s">
        <v>41</v>
      </c>
      <c r="P815" s="6" t="s">
        <v>42</v>
      </c>
      <c r="Q815" s="8" t="s">
        <v>43</v>
      </c>
      <c r="R815" s="10" t="s">
        <v>4547</v>
      </c>
      <c r="S815" s="11"/>
      <c r="T815" s="6"/>
      <c r="U815" s="28" t="str">
        <f>HYPERLINK("https://media.infra-m.ru/1852/1852692/cover/1852692.jpg", "Обложка")</f>
        <v>Обложка</v>
      </c>
      <c r="V815" s="28" t="str">
        <f>HYPERLINK("https://znanium.com/catalog/product/1852692", "Ознакомиться")</f>
        <v>Ознакомиться</v>
      </c>
      <c r="W815" s="8" t="s">
        <v>114</v>
      </c>
      <c r="X815" s="6"/>
      <c r="Y815" s="6"/>
      <c r="Z815" s="6"/>
      <c r="AA815" s="6" t="s">
        <v>2437</v>
      </c>
    </row>
    <row r="816" spans="1:27" s="4" customFormat="1" ht="42" customHeight="1">
      <c r="A816" s="5">
        <v>0</v>
      </c>
      <c r="B816" s="6" t="s">
        <v>4548</v>
      </c>
      <c r="C816" s="13">
        <v>1590</v>
      </c>
      <c r="D816" s="8" t="s">
        <v>4549</v>
      </c>
      <c r="E816" s="8" t="s">
        <v>4550</v>
      </c>
      <c r="F816" s="8" t="s">
        <v>4551</v>
      </c>
      <c r="G816" s="6" t="s">
        <v>58</v>
      </c>
      <c r="H816" s="6" t="s">
        <v>84</v>
      </c>
      <c r="I816" s="8" t="s">
        <v>120</v>
      </c>
      <c r="J816" s="9">
        <v>1</v>
      </c>
      <c r="K816" s="9">
        <v>340</v>
      </c>
      <c r="L816" s="9">
        <v>2023</v>
      </c>
      <c r="M816" s="8" t="s">
        <v>4552</v>
      </c>
      <c r="N816" s="8" t="s">
        <v>40</v>
      </c>
      <c r="O816" s="8" t="s">
        <v>41</v>
      </c>
      <c r="P816" s="6" t="s">
        <v>75</v>
      </c>
      <c r="Q816" s="8" t="s">
        <v>76</v>
      </c>
      <c r="R816" s="10" t="s">
        <v>69</v>
      </c>
      <c r="S816" s="11"/>
      <c r="T816" s="6"/>
      <c r="U816" s="28" t="str">
        <f>HYPERLINK("https://media.infra-m.ru/1819/1819049/cover/1819049.jpg", "Обложка")</f>
        <v>Обложка</v>
      </c>
      <c r="V816" s="28" t="str">
        <f>HYPERLINK("https://znanium.com/catalog/product/1819049", "Ознакомиться")</f>
        <v>Ознакомиться</v>
      </c>
      <c r="W816" s="8" t="s">
        <v>195</v>
      </c>
      <c r="X816" s="6" t="s">
        <v>475</v>
      </c>
      <c r="Y816" s="6"/>
      <c r="Z816" s="6"/>
      <c r="AA816" s="6" t="s">
        <v>137</v>
      </c>
    </row>
    <row r="817" spans="1:27" s="4" customFormat="1" ht="42" customHeight="1">
      <c r="A817" s="5">
        <v>0</v>
      </c>
      <c r="B817" s="6" t="s">
        <v>4553</v>
      </c>
      <c r="C817" s="13">
        <v>1224.9000000000001</v>
      </c>
      <c r="D817" s="8" t="s">
        <v>4554</v>
      </c>
      <c r="E817" s="8" t="s">
        <v>4555</v>
      </c>
      <c r="F817" s="8" t="s">
        <v>4556</v>
      </c>
      <c r="G817" s="6" t="s">
        <v>51</v>
      </c>
      <c r="H817" s="6" t="s">
        <v>84</v>
      </c>
      <c r="I817" s="8" t="s">
        <v>85</v>
      </c>
      <c r="J817" s="9">
        <v>1</v>
      </c>
      <c r="K817" s="9">
        <v>272</v>
      </c>
      <c r="L817" s="9">
        <v>2023</v>
      </c>
      <c r="M817" s="8" t="s">
        <v>4557</v>
      </c>
      <c r="N817" s="8" t="s">
        <v>40</v>
      </c>
      <c r="O817" s="8" t="s">
        <v>41</v>
      </c>
      <c r="P817" s="6" t="s">
        <v>42</v>
      </c>
      <c r="Q817" s="8" t="s">
        <v>43</v>
      </c>
      <c r="R817" s="10" t="s">
        <v>69</v>
      </c>
      <c r="S817" s="11"/>
      <c r="T817" s="6"/>
      <c r="U817" s="28" t="str">
        <f>HYPERLINK("https://media.infra-m.ru/1913/1913687/cover/1913687.jpg", "Обложка")</f>
        <v>Обложка</v>
      </c>
      <c r="V817" s="28" t="str">
        <f>HYPERLINK("https://znanium.com/catalog/product/938041", "Ознакомиться")</f>
        <v>Ознакомиться</v>
      </c>
      <c r="W817" s="8" t="s">
        <v>45</v>
      </c>
      <c r="X817" s="6"/>
      <c r="Y817" s="6"/>
      <c r="Z817" s="6"/>
      <c r="AA817" s="6" t="s">
        <v>298</v>
      </c>
    </row>
    <row r="818" spans="1:27" s="4" customFormat="1" ht="42" customHeight="1">
      <c r="A818" s="5">
        <v>0</v>
      </c>
      <c r="B818" s="6" t="s">
        <v>4558</v>
      </c>
      <c r="C818" s="13">
        <v>1210</v>
      </c>
      <c r="D818" s="8" t="s">
        <v>4559</v>
      </c>
      <c r="E818" s="8" t="s">
        <v>4560</v>
      </c>
      <c r="F818" s="8" t="s">
        <v>4561</v>
      </c>
      <c r="G818" s="6" t="s">
        <v>37</v>
      </c>
      <c r="H818" s="6" t="s">
        <v>38</v>
      </c>
      <c r="I818" s="8"/>
      <c r="J818" s="9">
        <v>1</v>
      </c>
      <c r="K818" s="9">
        <v>256</v>
      </c>
      <c r="L818" s="9">
        <v>2024</v>
      </c>
      <c r="M818" s="8" t="s">
        <v>4562</v>
      </c>
      <c r="N818" s="8" t="s">
        <v>40</v>
      </c>
      <c r="O818" s="8" t="s">
        <v>41</v>
      </c>
      <c r="P818" s="6" t="s">
        <v>95</v>
      </c>
      <c r="Q818" s="8" t="s">
        <v>157</v>
      </c>
      <c r="R818" s="10" t="s">
        <v>4563</v>
      </c>
      <c r="S818" s="11"/>
      <c r="T818" s="6"/>
      <c r="U818" s="28" t="str">
        <f>HYPERLINK("https://media.infra-m.ru/2085/2085941/cover/2085941.jpg", "Обложка")</f>
        <v>Обложка</v>
      </c>
      <c r="V818" s="28" t="str">
        <f>HYPERLINK("https://znanium.com/catalog/product/2085941", "Ознакомиться")</f>
        <v>Ознакомиться</v>
      </c>
      <c r="W818" s="8" t="s">
        <v>61</v>
      </c>
      <c r="X818" s="6"/>
      <c r="Y818" s="6"/>
      <c r="Z818" s="6"/>
      <c r="AA818" s="6" t="s">
        <v>88</v>
      </c>
    </row>
    <row r="819" spans="1:27" s="4" customFormat="1" ht="51.95" customHeight="1">
      <c r="A819" s="5">
        <v>0</v>
      </c>
      <c r="B819" s="6" t="s">
        <v>4564</v>
      </c>
      <c r="C819" s="13">
        <v>2464</v>
      </c>
      <c r="D819" s="8" t="s">
        <v>4565</v>
      </c>
      <c r="E819" s="8" t="s">
        <v>4566</v>
      </c>
      <c r="F819" s="8" t="s">
        <v>4567</v>
      </c>
      <c r="G819" s="6" t="s">
        <v>37</v>
      </c>
      <c r="H819" s="6" t="s">
        <v>84</v>
      </c>
      <c r="I819" s="8" t="s">
        <v>1491</v>
      </c>
      <c r="J819" s="9">
        <v>1</v>
      </c>
      <c r="K819" s="9">
        <v>548</v>
      </c>
      <c r="L819" s="9">
        <v>2023</v>
      </c>
      <c r="M819" s="8" t="s">
        <v>4568</v>
      </c>
      <c r="N819" s="8" t="s">
        <v>40</v>
      </c>
      <c r="O819" s="8" t="s">
        <v>41</v>
      </c>
      <c r="P819" s="6" t="s">
        <v>95</v>
      </c>
      <c r="Q819" s="8" t="s">
        <v>76</v>
      </c>
      <c r="R819" s="10" t="s">
        <v>77</v>
      </c>
      <c r="S819" s="11" t="s">
        <v>4569</v>
      </c>
      <c r="T819" s="6"/>
      <c r="U819" s="28" t="str">
        <f>HYPERLINK("https://media.infra-m.ru/1974/1974376/cover/1974376.jpg", "Обложка")</f>
        <v>Обложка</v>
      </c>
      <c r="V819" s="28" t="str">
        <f>HYPERLINK("https://znanium.com/catalog/product/1832854", "Ознакомиться")</f>
        <v>Ознакомиться</v>
      </c>
      <c r="W819" s="8" t="s">
        <v>334</v>
      </c>
      <c r="X819" s="6"/>
      <c r="Y819" s="6"/>
      <c r="Z819" s="6"/>
      <c r="AA819" s="6" t="s">
        <v>79</v>
      </c>
    </row>
    <row r="820" spans="1:27" s="4" customFormat="1" ht="21.95" customHeight="1">
      <c r="A820" s="5">
        <v>0</v>
      </c>
      <c r="B820" s="6" t="s">
        <v>4570</v>
      </c>
      <c r="C820" s="7">
        <v>64.900000000000006</v>
      </c>
      <c r="D820" s="8" t="s">
        <v>4571</v>
      </c>
      <c r="E820" s="8" t="s">
        <v>4572</v>
      </c>
      <c r="F820" s="8"/>
      <c r="G820" s="6" t="s">
        <v>51</v>
      </c>
      <c r="H820" s="6" t="s">
        <v>52</v>
      </c>
      <c r="I820" s="8" t="s">
        <v>226</v>
      </c>
      <c r="J820" s="9">
        <v>560</v>
      </c>
      <c r="K820" s="9">
        <v>96</v>
      </c>
      <c r="L820" s="9">
        <v>2016</v>
      </c>
      <c r="M820" s="8" t="s">
        <v>4573</v>
      </c>
      <c r="N820" s="8" t="s">
        <v>40</v>
      </c>
      <c r="O820" s="8" t="s">
        <v>41</v>
      </c>
      <c r="P820" s="6" t="s">
        <v>228</v>
      </c>
      <c r="Q820" s="8" t="s">
        <v>76</v>
      </c>
      <c r="R820" s="10"/>
      <c r="S820" s="11"/>
      <c r="T820" s="6"/>
      <c r="U820" s="12"/>
      <c r="V820" s="12"/>
      <c r="W820" s="8"/>
      <c r="X820" s="6"/>
      <c r="Y820" s="6"/>
      <c r="Z820" s="6"/>
      <c r="AA820" s="6" t="s">
        <v>4574</v>
      </c>
    </row>
    <row r="821" spans="1:27" s="4" customFormat="1" ht="51.95" customHeight="1">
      <c r="A821" s="5">
        <v>0</v>
      </c>
      <c r="B821" s="6" t="s">
        <v>4575</v>
      </c>
      <c r="C821" s="7">
        <v>719.9</v>
      </c>
      <c r="D821" s="8" t="s">
        <v>4576</v>
      </c>
      <c r="E821" s="8" t="s">
        <v>4577</v>
      </c>
      <c r="F821" s="8" t="s">
        <v>4578</v>
      </c>
      <c r="G821" s="6" t="s">
        <v>58</v>
      </c>
      <c r="H821" s="6" t="s">
        <v>38</v>
      </c>
      <c r="I821" s="8"/>
      <c r="J821" s="9">
        <v>1</v>
      </c>
      <c r="K821" s="9">
        <v>152</v>
      </c>
      <c r="L821" s="9">
        <v>2023</v>
      </c>
      <c r="M821" s="8" t="s">
        <v>4579</v>
      </c>
      <c r="N821" s="8" t="s">
        <v>40</v>
      </c>
      <c r="O821" s="8" t="s">
        <v>41</v>
      </c>
      <c r="P821" s="6" t="s">
        <v>42</v>
      </c>
      <c r="Q821" s="8" t="s">
        <v>43</v>
      </c>
      <c r="R821" s="10" t="s">
        <v>4580</v>
      </c>
      <c r="S821" s="11"/>
      <c r="T821" s="6"/>
      <c r="U821" s="28" t="str">
        <f>HYPERLINK("https://media.infra-m.ru/1905/1905571/cover/1905571.jpg", "Обложка")</f>
        <v>Обложка</v>
      </c>
      <c r="V821" s="28" t="str">
        <f>HYPERLINK("https://znanium.com/catalog/product/1905571", "Ознакомиться")</f>
        <v>Ознакомиться</v>
      </c>
      <c r="W821" s="8" t="s">
        <v>114</v>
      </c>
      <c r="X821" s="6"/>
      <c r="Y821" s="6"/>
      <c r="Z821" s="6"/>
      <c r="AA821" s="6" t="s">
        <v>408</v>
      </c>
    </row>
    <row r="822" spans="1:27" s="4" customFormat="1" ht="51.95" customHeight="1">
      <c r="A822" s="5">
        <v>0</v>
      </c>
      <c r="B822" s="6" t="s">
        <v>4581</v>
      </c>
      <c r="C822" s="13">
        <v>1070</v>
      </c>
      <c r="D822" s="8" t="s">
        <v>4582</v>
      </c>
      <c r="E822" s="8" t="s">
        <v>4583</v>
      </c>
      <c r="F822" s="8" t="s">
        <v>4584</v>
      </c>
      <c r="G822" s="6" t="s">
        <v>37</v>
      </c>
      <c r="H822" s="6" t="s">
        <v>84</v>
      </c>
      <c r="I822" s="8" t="s">
        <v>1214</v>
      </c>
      <c r="J822" s="9">
        <v>1</v>
      </c>
      <c r="K822" s="9">
        <v>232</v>
      </c>
      <c r="L822" s="9">
        <v>2023</v>
      </c>
      <c r="M822" s="8" t="s">
        <v>4585</v>
      </c>
      <c r="N822" s="8" t="s">
        <v>40</v>
      </c>
      <c r="O822" s="8" t="s">
        <v>41</v>
      </c>
      <c r="P822" s="6" t="s">
        <v>95</v>
      </c>
      <c r="Q822" s="8" t="s">
        <v>680</v>
      </c>
      <c r="R822" s="10" t="s">
        <v>122</v>
      </c>
      <c r="S822" s="11"/>
      <c r="T822" s="6"/>
      <c r="U822" s="28" t="str">
        <f>HYPERLINK("https://media.infra-m.ru/2020/2020590/cover/2020590.jpg", "Обложка")</f>
        <v>Обложка</v>
      </c>
      <c r="V822" s="28" t="str">
        <f>HYPERLINK("https://znanium.com/catalog/product/2020590", "Ознакомиться")</f>
        <v>Ознакомиться</v>
      </c>
      <c r="W822" s="8" t="s">
        <v>334</v>
      </c>
      <c r="X822" s="6"/>
      <c r="Y822" s="6"/>
      <c r="Z822" s="6"/>
      <c r="AA822" s="6" t="s">
        <v>79</v>
      </c>
    </row>
    <row r="823" spans="1:27" s="4" customFormat="1" ht="42" customHeight="1">
      <c r="A823" s="5">
        <v>0</v>
      </c>
      <c r="B823" s="6" t="s">
        <v>4586</v>
      </c>
      <c r="C823" s="7">
        <v>870</v>
      </c>
      <c r="D823" s="8" t="s">
        <v>4587</v>
      </c>
      <c r="E823" s="8" t="s">
        <v>4588</v>
      </c>
      <c r="F823" s="8" t="s">
        <v>4589</v>
      </c>
      <c r="G823" s="6" t="s">
        <v>37</v>
      </c>
      <c r="H823" s="6" t="s">
        <v>38</v>
      </c>
      <c r="I823" s="8"/>
      <c r="J823" s="9">
        <v>1</v>
      </c>
      <c r="K823" s="9">
        <v>160</v>
      </c>
      <c r="L823" s="9">
        <v>2023</v>
      </c>
      <c r="M823" s="8" t="s">
        <v>4590</v>
      </c>
      <c r="N823" s="8" t="s">
        <v>40</v>
      </c>
      <c r="O823" s="8" t="s">
        <v>41</v>
      </c>
      <c r="P823" s="6" t="s">
        <v>42</v>
      </c>
      <c r="Q823" s="8" t="s">
        <v>43</v>
      </c>
      <c r="R823" s="10" t="s">
        <v>69</v>
      </c>
      <c r="S823" s="11"/>
      <c r="T823" s="6"/>
      <c r="U823" s="28" t="str">
        <f>HYPERLINK("https://media.infra-m.ru/1861/1861900/cover/1861900.jpg", "Обложка")</f>
        <v>Обложка</v>
      </c>
      <c r="V823" s="28" t="str">
        <f>HYPERLINK("https://znanium.com/catalog/product/1861900", "Ознакомиться")</f>
        <v>Ознакомиться</v>
      </c>
      <c r="W823" s="8" t="s">
        <v>535</v>
      </c>
      <c r="X823" s="6"/>
      <c r="Y823" s="6"/>
      <c r="Z823" s="6"/>
      <c r="AA823" s="6" t="s">
        <v>343</v>
      </c>
    </row>
    <row r="824" spans="1:27" s="4" customFormat="1" ht="42" customHeight="1">
      <c r="A824" s="5">
        <v>0</v>
      </c>
      <c r="B824" s="6" t="s">
        <v>4591</v>
      </c>
      <c r="C824" s="7">
        <v>820</v>
      </c>
      <c r="D824" s="8" t="s">
        <v>4592</v>
      </c>
      <c r="E824" s="8" t="s">
        <v>4593</v>
      </c>
      <c r="F824" s="8" t="s">
        <v>3310</v>
      </c>
      <c r="G824" s="6" t="s">
        <v>58</v>
      </c>
      <c r="H824" s="6" t="s">
        <v>38</v>
      </c>
      <c r="I824" s="8"/>
      <c r="J824" s="9">
        <v>1</v>
      </c>
      <c r="K824" s="9">
        <v>176</v>
      </c>
      <c r="L824" s="9">
        <v>2023</v>
      </c>
      <c r="M824" s="8" t="s">
        <v>4594</v>
      </c>
      <c r="N824" s="8" t="s">
        <v>40</v>
      </c>
      <c r="O824" s="8" t="s">
        <v>41</v>
      </c>
      <c r="P824" s="6" t="s">
        <v>42</v>
      </c>
      <c r="Q824" s="8" t="s">
        <v>43</v>
      </c>
      <c r="R824" s="10" t="s">
        <v>1339</v>
      </c>
      <c r="S824" s="11"/>
      <c r="T824" s="6"/>
      <c r="U824" s="28" t="str">
        <f>HYPERLINK("https://media.infra-m.ru/1958/1958346/cover/1958346.jpg", "Обложка")</f>
        <v>Обложка</v>
      </c>
      <c r="V824" s="28" t="str">
        <f>HYPERLINK("https://znanium.com/catalog/product/1958346", "Ознакомиться")</f>
        <v>Ознакомиться</v>
      </c>
      <c r="W824" s="8" t="s">
        <v>1356</v>
      </c>
      <c r="X824" s="6" t="s">
        <v>904</v>
      </c>
      <c r="Y824" s="6"/>
      <c r="Z824" s="6"/>
      <c r="AA824" s="6" t="s">
        <v>137</v>
      </c>
    </row>
    <row r="825" spans="1:27" s="4" customFormat="1" ht="42" customHeight="1">
      <c r="A825" s="5">
        <v>0</v>
      </c>
      <c r="B825" s="6" t="s">
        <v>4595</v>
      </c>
      <c r="C825" s="7">
        <v>690</v>
      </c>
      <c r="D825" s="8" t="s">
        <v>4596</v>
      </c>
      <c r="E825" s="8" t="s">
        <v>4597</v>
      </c>
      <c r="F825" s="8" t="s">
        <v>3310</v>
      </c>
      <c r="G825" s="6" t="s">
        <v>37</v>
      </c>
      <c r="H825" s="6" t="s">
        <v>38</v>
      </c>
      <c r="I825" s="8"/>
      <c r="J825" s="9">
        <v>1</v>
      </c>
      <c r="K825" s="9">
        <v>144</v>
      </c>
      <c r="L825" s="9">
        <v>2023</v>
      </c>
      <c r="M825" s="8" t="s">
        <v>4598</v>
      </c>
      <c r="N825" s="8" t="s">
        <v>40</v>
      </c>
      <c r="O825" s="8" t="s">
        <v>41</v>
      </c>
      <c r="P825" s="6" t="s">
        <v>42</v>
      </c>
      <c r="Q825" s="8" t="s">
        <v>43</v>
      </c>
      <c r="R825" s="10" t="s">
        <v>1339</v>
      </c>
      <c r="S825" s="11"/>
      <c r="T825" s="6"/>
      <c r="U825" s="28" t="str">
        <f>HYPERLINK("https://media.infra-m.ru/1864/1864113/cover/1864113.jpg", "Обложка")</f>
        <v>Обложка</v>
      </c>
      <c r="V825" s="28" t="str">
        <f>HYPERLINK("https://znanium.com/catalog/product/1958346", "Ознакомиться")</f>
        <v>Ознакомиться</v>
      </c>
      <c r="W825" s="8" t="s">
        <v>1356</v>
      </c>
      <c r="X825" s="6"/>
      <c r="Y825" s="6"/>
      <c r="Z825" s="6"/>
      <c r="AA825" s="6" t="s">
        <v>115</v>
      </c>
    </row>
    <row r="826" spans="1:27" s="4" customFormat="1" ht="51.95" customHeight="1">
      <c r="A826" s="5">
        <v>0</v>
      </c>
      <c r="B826" s="6" t="s">
        <v>4599</v>
      </c>
      <c r="C826" s="7">
        <v>900</v>
      </c>
      <c r="D826" s="8" t="s">
        <v>4600</v>
      </c>
      <c r="E826" s="8" t="s">
        <v>4601</v>
      </c>
      <c r="F826" s="8" t="s">
        <v>4602</v>
      </c>
      <c r="G826" s="6" t="s">
        <v>37</v>
      </c>
      <c r="H826" s="6" t="s">
        <v>52</v>
      </c>
      <c r="I826" s="8" t="s">
        <v>3026</v>
      </c>
      <c r="J826" s="9">
        <v>1</v>
      </c>
      <c r="K826" s="9">
        <v>194</v>
      </c>
      <c r="L826" s="9">
        <v>2023</v>
      </c>
      <c r="M826" s="8" t="s">
        <v>4603</v>
      </c>
      <c r="N826" s="8" t="s">
        <v>40</v>
      </c>
      <c r="O826" s="8" t="s">
        <v>41</v>
      </c>
      <c r="P826" s="6" t="s">
        <v>75</v>
      </c>
      <c r="Q826" s="8" t="s">
        <v>76</v>
      </c>
      <c r="R826" s="10" t="s">
        <v>310</v>
      </c>
      <c r="S826" s="11" t="s">
        <v>4604</v>
      </c>
      <c r="T826" s="6"/>
      <c r="U826" s="28" t="str">
        <f>HYPERLINK("https://media.infra-m.ru/1974/1974375/cover/1974375.jpg", "Обложка")</f>
        <v>Обложка</v>
      </c>
      <c r="V826" s="28" t="str">
        <f>HYPERLINK("https://znanium.com/catalog/product/1974375", "Ознакомиться")</f>
        <v>Ознакомиться</v>
      </c>
      <c r="W826" s="8" t="s">
        <v>3220</v>
      </c>
      <c r="X826" s="6"/>
      <c r="Y826" s="6"/>
      <c r="Z826" s="6"/>
      <c r="AA826" s="6" t="s">
        <v>814</v>
      </c>
    </row>
    <row r="827" spans="1:27" s="4" customFormat="1" ht="51.95" customHeight="1">
      <c r="A827" s="5">
        <v>0</v>
      </c>
      <c r="B827" s="6" t="s">
        <v>4605</v>
      </c>
      <c r="C827" s="7">
        <v>560</v>
      </c>
      <c r="D827" s="8" t="s">
        <v>4606</v>
      </c>
      <c r="E827" s="8" t="s">
        <v>4607</v>
      </c>
      <c r="F827" s="8" t="s">
        <v>4602</v>
      </c>
      <c r="G827" s="6" t="s">
        <v>58</v>
      </c>
      <c r="H827" s="6" t="s">
        <v>52</v>
      </c>
      <c r="I827" s="8" t="s">
        <v>120</v>
      </c>
      <c r="J827" s="9">
        <v>1</v>
      </c>
      <c r="K827" s="9">
        <v>163</v>
      </c>
      <c r="L827" s="9">
        <v>2018</v>
      </c>
      <c r="M827" s="8" t="s">
        <v>4608</v>
      </c>
      <c r="N827" s="8" t="s">
        <v>40</v>
      </c>
      <c r="O827" s="8" t="s">
        <v>41</v>
      </c>
      <c r="P827" s="6" t="s">
        <v>75</v>
      </c>
      <c r="Q827" s="8" t="s">
        <v>76</v>
      </c>
      <c r="R827" s="10" t="s">
        <v>310</v>
      </c>
      <c r="S827" s="11" t="s">
        <v>4604</v>
      </c>
      <c r="T827" s="6"/>
      <c r="U827" s="28" t="str">
        <f>HYPERLINK("https://media.infra-m.ru/1088/1088228/cover/1088228.jpg", "Обложка")</f>
        <v>Обложка</v>
      </c>
      <c r="V827" s="28" t="str">
        <f>HYPERLINK("https://znanium.com/catalog/product/1974375", "Ознакомиться")</f>
        <v>Ознакомиться</v>
      </c>
      <c r="W827" s="8" t="s">
        <v>3220</v>
      </c>
      <c r="X827" s="6"/>
      <c r="Y827" s="6"/>
      <c r="Z827" s="6"/>
      <c r="AA827" s="6" t="s">
        <v>559</v>
      </c>
    </row>
    <row r="828" spans="1:27" s="4" customFormat="1" ht="44.1" customHeight="1">
      <c r="A828" s="5">
        <v>0</v>
      </c>
      <c r="B828" s="6" t="s">
        <v>4609</v>
      </c>
      <c r="C828" s="13">
        <v>1454.9</v>
      </c>
      <c r="D828" s="8" t="s">
        <v>4610</v>
      </c>
      <c r="E828" s="8" t="s">
        <v>4611</v>
      </c>
      <c r="F828" s="8" t="s">
        <v>3968</v>
      </c>
      <c r="G828" s="6" t="s">
        <v>58</v>
      </c>
      <c r="H828" s="6" t="s">
        <v>38</v>
      </c>
      <c r="I828" s="8"/>
      <c r="J828" s="9">
        <v>1</v>
      </c>
      <c r="K828" s="9">
        <v>384</v>
      </c>
      <c r="L828" s="9">
        <v>2022</v>
      </c>
      <c r="M828" s="8" t="s">
        <v>4612</v>
      </c>
      <c r="N828" s="8" t="s">
        <v>40</v>
      </c>
      <c r="O828" s="8" t="s">
        <v>41</v>
      </c>
      <c r="P828" s="6" t="s">
        <v>95</v>
      </c>
      <c r="Q828" s="8" t="s">
        <v>76</v>
      </c>
      <c r="R828" s="10" t="s">
        <v>4613</v>
      </c>
      <c r="S828" s="11"/>
      <c r="T828" s="6"/>
      <c r="U828" s="28" t="str">
        <f>HYPERLINK("https://media.infra-m.ru/1852/1852230/cover/1852230.jpg", "Обложка")</f>
        <v>Обложка</v>
      </c>
      <c r="V828" s="28" t="str">
        <f>HYPERLINK("https://znanium.com/catalog/product/1852230", "Ознакомиться")</f>
        <v>Ознакомиться</v>
      </c>
      <c r="W828" s="8" t="s">
        <v>78</v>
      </c>
      <c r="X828" s="6"/>
      <c r="Y828" s="6"/>
      <c r="Z828" s="6"/>
      <c r="AA828" s="6" t="s">
        <v>88</v>
      </c>
    </row>
    <row r="829" spans="1:27" s="4" customFormat="1" ht="51.95" customHeight="1">
      <c r="A829" s="5">
        <v>0</v>
      </c>
      <c r="B829" s="6" t="s">
        <v>4614</v>
      </c>
      <c r="C829" s="7">
        <v>910</v>
      </c>
      <c r="D829" s="8" t="s">
        <v>4615</v>
      </c>
      <c r="E829" s="8" t="s">
        <v>4616</v>
      </c>
      <c r="F829" s="8" t="s">
        <v>4617</v>
      </c>
      <c r="G829" s="6" t="s">
        <v>37</v>
      </c>
      <c r="H829" s="6" t="s">
        <v>38</v>
      </c>
      <c r="I829" s="8"/>
      <c r="J829" s="9">
        <v>1</v>
      </c>
      <c r="K829" s="9">
        <v>200</v>
      </c>
      <c r="L829" s="9">
        <v>2022</v>
      </c>
      <c r="M829" s="8" t="s">
        <v>4618</v>
      </c>
      <c r="N829" s="8" t="s">
        <v>40</v>
      </c>
      <c r="O829" s="8" t="s">
        <v>41</v>
      </c>
      <c r="P829" s="6" t="s">
        <v>42</v>
      </c>
      <c r="Q829" s="8" t="s">
        <v>43</v>
      </c>
      <c r="R829" s="10" t="s">
        <v>1911</v>
      </c>
      <c r="S829" s="11"/>
      <c r="T829" s="6"/>
      <c r="U829" s="28" t="str">
        <f>HYPERLINK("https://media.infra-m.ru/1856/1856727/cover/1856727.jpg", "Обложка")</f>
        <v>Обложка</v>
      </c>
      <c r="V829" s="28" t="str">
        <f>HYPERLINK("https://znanium.com/catalog/product/1244616", "Ознакомиться")</f>
        <v>Ознакомиться</v>
      </c>
      <c r="W829" s="8" t="s">
        <v>4619</v>
      </c>
      <c r="X829" s="6"/>
      <c r="Y829" s="6"/>
      <c r="Z829" s="6"/>
      <c r="AA829" s="6" t="s">
        <v>62</v>
      </c>
    </row>
    <row r="830" spans="1:27" s="4" customFormat="1" ht="42" customHeight="1">
      <c r="A830" s="5">
        <v>0</v>
      </c>
      <c r="B830" s="6" t="s">
        <v>4620</v>
      </c>
      <c r="C830" s="13">
        <v>2400</v>
      </c>
      <c r="D830" s="8" t="s">
        <v>4621</v>
      </c>
      <c r="E830" s="8" t="s">
        <v>4622</v>
      </c>
      <c r="F830" s="8" t="s">
        <v>57</v>
      </c>
      <c r="G830" s="6" t="s">
        <v>58</v>
      </c>
      <c r="H830" s="6" t="s">
        <v>38</v>
      </c>
      <c r="I830" s="8"/>
      <c r="J830" s="9">
        <v>1</v>
      </c>
      <c r="K830" s="9">
        <v>536</v>
      </c>
      <c r="L830" s="9">
        <v>2023</v>
      </c>
      <c r="M830" s="8" t="s">
        <v>4623</v>
      </c>
      <c r="N830" s="8" t="s">
        <v>40</v>
      </c>
      <c r="O830" s="8" t="s">
        <v>41</v>
      </c>
      <c r="P830" s="6" t="s">
        <v>42</v>
      </c>
      <c r="Q830" s="8" t="s">
        <v>43</v>
      </c>
      <c r="R830" s="10" t="s">
        <v>304</v>
      </c>
      <c r="S830" s="11"/>
      <c r="T830" s="6"/>
      <c r="U830" s="28" t="str">
        <f>HYPERLINK("https://media.infra-m.ru/2064/2064409/cover/2064409.jpg", "Обложка")</f>
        <v>Обложка</v>
      </c>
      <c r="V830" s="28" t="str">
        <f>HYPERLINK("https://znanium.com/catalog/product/1958344", "Ознакомиться")</f>
        <v>Ознакомиться</v>
      </c>
      <c r="W830" s="8" t="s">
        <v>61</v>
      </c>
      <c r="X830" s="6"/>
      <c r="Y830" s="6"/>
      <c r="Z830" s="6"/>
      <c r="AA830" s="6" t="s">
        <v>1806</v>
      </c>
    </row>
    <row r="831" spans="1:27" s="4" customFormat="1" ht="42" customHeight="1">
      <c r="A831" s="5">
        <v>0</v>
      </c>
      <c r="B831" s="6" t="s">
        <v>4624</v>
      </c>
      <c r="C831" s="13">
        <v>1660</v>
      </c>
      <c r="D831" s="8" t="s">
        <v>4625</v>
      </c>
      <c r="E831" s="8" t="s">
        <v>4626</v>
      </c>
      <c r="F831" s="8" t="s">
        <v>57</v>
      </c>
      <c r="G831" s="6" t="s">
        <v>37</v>
      </c>
      <c r="H831" s="6" t="s">
        <v>38</v>
      </c>
      <c r="I831" s="8"/>
      <c r="J831" s="9">
        <v>1</v>
      </c>
      <c r="K831" s="9">
        <v>368</v>
      </c>
      <c r="L831" s="9">
        <v>2023</v>
      </c>
      <c r="M831" s="8" t="s">
        <v>4627</v>
      </c>
      <c r="N831" s="8" t="s">
        <v>40</v>
      </c>
      <c r="O831" s="8" t="s">
        <v>41</v>
      </c>
      <c r="P831" s="6" t="s">
        <v>42</v>
      </c>
      <c r="Q831" s="8" t="s">
        <v>43</v>
      </c>
      <c r="R831" s="10" t="s">
        <v>304</v>
      </c>
      <c r="S831" s="11"/>
      <c r="T831" s="6"/>
      <c r="U831" s="28" t="str">
        <f>HYPERLINK("https://media.infra-m.ru/1912/1912908/cover/1912908.jpg", "Обложка")</f>
        <v>Обложка</v>
      </c>
      <c r="V831" s="28" t="str">
        <f>HYPERLINK("https://znanium.com/catalog/product/1958344", "Ознакомиться")</f>
        <v>Ознакомиться</v>
      </c>
      <c r="W831" s="8" t="s">
        <v>61</v>
      </c>
      <c r="X831" s="6"/>
      <c r="Y831" s="6"/>
      <c r="Z831" s="6"/>
      <c r="AA831" s="6" t="s">
        <v>171</v>
      </c>
    </row>
    <row r="832" spans="1:27" s="4" customFormat="1" ht="42" customHeight="1">
      <c r="A832" s="5">
        <v>0</v>
      </c>
      <c r="B832" s="6" t="s">
        <v>4628</v>
      </c>
      <c r="C832" s="13">
        <v>1564.9</v>
      </c>
      <c r="D832" s="8" t="s">
        <v>4629</v>
      </c>
      <c r="E832" s="8" t="s">
        <v>4630</v>
      </c>
      <c r="F832" s="8" t="s">
        <v>4631</v>
      </c>
      <c r="G832" s="6" t="s">
        <v>58</v>
      </c>
      <c r="H832" s="6" t="s">
        <v>38</v>
      </c>
      <c r="I832" s="8"/>
      <c r="J832" s="9">
        <v>1</v>
      </c>
      <c r="K832" s="9">
        <v>400</v>
      </c>
      <c r="L832" s="9">
        <v>2022</v>
      </c>
      <c r="M832" s="8" t="s">
        <v>4632</v>
      </c>
      <c r="N832" s="8" t="s">
        <v>40</v>
      </c>
      <c r="O832" s="8" t="s">
        <v>41</v>
      </c>
      <c r="P832" s="6" t="s">
        <v>42</v>
      </c>
      <c r="Q832" s="8" t="s">
        <v>43</v>
      </c>
      <c r="R832" s="10" t="s">
        <v>4633</v>
      </c>
      <c r="S832" s="11"/>
      <c r="T832" s="6"/>
      <c r="U832" s="28" t="str">
        <f>HYPERLINK("https://media.infra-m.ru/1859/1859590/cover/1859590.jpg", "Обложка")</f>
        <v>Обложка</v>
      </c>
      <c r="V832" s="28" t="str">
        <f>HYPERLINK("https://znanium.com/catalog/product/1859590", "Ознакомиться")</f>
        <v>Ознакомиться</v>
      </c>
      <c r="W832" s="8" t="s">
        <v>414</v>
      </c>
      <c r="X832" s="6"/>
      <c r="Y832" s="6"/>
      <c r="Z832" s="6"/>
      <c r="AA832" s="6" t="s">
        <v>422</v>
      </c>
    </row>
    <row r="833" spans="1:27" s="4" customFormat="1" ht="51.95" customHeight="1">
      <c r="A833" s="5">
        <v>0</v>
      </c>
      <c r="B833" s="6" t="s">
        <v>4634</v>
      </c>
      <c r="C833" s="7">
        <v>810</v>
      </c>
      <c r="D833" s="8" t="s">
        <v>4635</v>
      </c>
      <c r="E833" s="8" t="s">
        <v>4636</v>
      </c>
      <c r="F833" s="8" t="s">
        <v>4637</v>
      </c>
      <c r="G833" s="6" t="s">
        <v>37</v>
      </c>
      <c r="H833" s="6" t="s">
        <v>84</v>
      </c>
      <c r="I833" s="8" t="s">
        <v>93</v>
      </c>
      <c r="J833" s="9">
        <v>1</v>
      </c>
      <c r="K833" s="9">
        <v>175</v>
      </c>
      <c r="L833" s="9">
        <v>2024</v>
      </c>
      <c r="M833" s="8" t="s">
        <v>4638</v>
      </c>
      <c r="N833" s="8" t="s">
        <v>40</v>
      </c>
      <c r="O833" s="8" t="s">
        <v>41</v>
      </c>
      <c r="P833" s="6" t="s">
        <v>75</v>
      </c>
      <c r="Q833" s="8" t="s">
        <v>96</v>
      </c>
      <c r="R833" s="10" t="s">
        <v>4065</v>
      </c>
      <c r="S833" s="11" t="s">
        <v>4639</v>
      </c>
      <c r="T833" s="6"/>
      <c r="U833" s="28" t="str">
        <f>HYPERLINK("https://media.infra-m.ru/2115/2115724/cover/2115724.jpg", "Обложка")</f>
        <v>Обложка</v>
      </c>
      <c r="V833" s="28" t="str">
        <f>HYPERLINK("https://znanium.com/catalog/product/2115724", "Ознакомиться")</f>
        <v>Ознакомиться</v>
      </c>
      <c r="W833" s="8" t="s">
        <v>170</v>
      </c>
      <c r="X833" s="6"/>
      <c r="Y833" s="6"/>
      <c r="Z833" s="6"/>
      <c r="AA833" s="6" t="s">
        <v>115</v>
      </c>
    </row>
    <row r="834" spans="1:27" s="4" customFormat="1" ht="51.95" customHeight="1">
      <c r="A834" s="5">
        <v>0</v>
      </c>
      <c r="B834" s="6" t="s">
        <v>4640</v>
      </c>
      <c r="C834" s="13">
        <v>2094.9</v>
      </c>
      <c r="D834" s="8" t="s">
        <v>4641</v>
      </c>
      <c r="E834" s="8" t="s">
        <v>4642</v>
      </c>
      <c r="F834" s="8" t="s">
        <v>3944</v>
      </c>
      <c r="G834" s="6" t="s">
        <v>51</v>
      </c>
      <c r="H834" s="6" t="s">
        <v>38</v>
      </c>
      <c r="I834" s="8"/>
      <c r="J834" s="9">
        <v>1</v>
      </c>
      <c r="K834" s="9">
        <v>688</v>
      </c>
      <c r="L834" s="9">
        <v>2022</v>
      </c>
      <c r="M834" s="8" t="s">
        <v>4643</v>
      </c>
      <c r="N834" s="8" t="s">
        <v>40</v>
      </c>
      <c r="O834" s="8" t="s">
        <v>41</v>
      </c>
      <c r="P834" s="6" t="s">
        <v>295</v>
      </c>
      <c r="Q834" s="8" t="s">
        <v>43</v>
      </c>
      <c r="R834" s="10" t="s">
        <v>4644</v>
      </c>
      <c r="S834" s="11"/>
      <c r="T834" s="6"/>
      <c r="U834" s="28" t="str">
        <f>HYPERLINK("https://media.infra-m.ru/1877/1877506/cover/1877506.jpg", "Обложка")</f>
        <v>Обложка</v>
      </c>
      <c r="V834" s="28" t="str">
        <f>HYPERLINK("https://znanium.com/catalog/product/1091999", "Ознакомиться")</f>
        <v>Ознакомиться</v>
      </c>
      <c r="W834" s="8" t="s">
        <v>712</v>
      </c>
      <c r="X834" s="6"/>
      <c r="Y834" s="6"/>
      <c r="Z834" s="6"/>
      <c r="AA834" s="6" t="s">
        <v>289</v>
      </c>
    </row>
    <row r="835" spans="1:27" s="4" customFormat="1" ht="51.95" customHeight="1">
      <c r="A835" s="5">
        <v>0</v>
      </c>
      <c r="B835" s="6" t="s">
        <v>4645</v>
      </c>
      <c r="C835" s="13">
        <v>1080</v>
      </c>
      <c r="D835" s="8" t="s">
        <v>4646</v>
      </c>
      <c r="E835" s="8" t="s">
        <v>4647</v>
      </c>
      <c r="F835" s="8" t="s">
        <v>4648</v>
      </c>
      <c r="G835" s="6" t="s">
        <v>37</v>
      </c>
      <c r="H835" s="6" t="s">
        <v>84</v>
      </c>
      <c r="I835" s="8" t="s">
        <v>85</v>
      </c>
      <c r="J835" s="9">
        <v>1</v>
      </c>
      <c r="K835" s="9">
        <v>240</v>
      </c>
      <c r="L835" s="9">
        <v>2023</v>
      </c>
      <c r="M835" s="8" t="s">
        <v>4649</v>
      </c>
      <c r="N835" s="8" t="s">
        <v>40</v>
      </c>
      <c r="O835" s="8" t="s">
        <v>41</v>
      </c>
      <c r="P835" s="6" t="s">
        <v>42</v>
      </c>
      <c r="Q835" s="8" t="s">
        <v>43</v>
      </c>
      <c r="R835" s="10" t="s">
        <v>4650</v>
      </c>
      <c r="S835" s="11"/>
      <c r="T835" s="6"/>
      <c r="U835" s="28" t="str">
        <f>HYPERLINK("https://media.infra-m.ru/1913/1913673/cover/1913673.jpg", "Обложка")</f>
        <v>Обложка</v>
      </c>
      <c r="V835" s="28" t="str">
        <f>HYPERLINK("https://znanium.com/catalog/product/1913673", "Ознакомиться")</f>
        <v>Ознакомиться</v>
      </c>
      <c r="W835" s="8" t="s">
        <v>45</v>
      </c>
      <c r="X835" s="6"/>
      <c r="Y835" s="6"/>
      <c r="Z835" s="6"/>
      <c r="AA835" s="6" t="s">
        <v>298</v>
      </c>
    </row>
    <row r="836" spans="1:27" s="4" customFormat="1" ht="51.95" customHeight="1">
      <c r="A836" s="5">
        <v>0</v>
      </c>
      <c r="B836" s="6" t="s">
        <v>4651</v>
      </c>
      <c r="C836" s="13">
        <v>1734.9</v>
      </c>
      <c r="D836" s="8" t="s">
        <v>4652</v>
      </c>
      <c r="E836" s="8" t="s">
        <v>4653</v>
      </c>
      <c r="F836" s="8" t="s">
        <v>4654</v>
      </c>
      <c r="G836" s="6" t="s">
        <v>37</v>
      </c>
      <c r="H836" s="6" t="s">
        <v>84</v>
      </c>
      <c r="I836" s="8" t="s">
        <v>93</v>
      </c>
      <c r="J836" s="9">
        <v>1</v>
      </c>
      <c r="K836" s="9">
        <v>386</v>
      </c>
      <c r="L836" s="9">
        <v>2023</v>
      </c>
      <c r="M836" s="8" t="s">
        <v>4655</v>
      </c>
      <c r="N836" s="8" t="s">
        <v>40</v>
      </c>
      <c r="O836" s="8" t="s">
        <v>41</v>
      </c>
      <c r="P836" s="6" t="s">
        <v>95</v>
      </c>
      <c r="Q836" s="8" t="s">
        <v>96</v>
      </c>
      <c r="R836" s="10" t="s">
        <v>4656</v>
      </c>
      <c r="S836" s="11" t="s">
        <v>4657</v>
      </c>
      <c r="T836" s="6"/>
      <c r="U836" s="28" t="str">
        <f>HYPERLINK("https://media.infra-m.ru/1913/1913232/cover/1913232.jpg", "Обложка")</f>
        <v>Обложка</v>
      </c>
      <c r="V836" s="28" t="str">
        <f>HYPERLINK("https://znanium.com/catalog/product/1852890", "Ознакомиться")</f>
        <v>Ознакомиться</v>
      </c>
      <c r="W836" s="8" t="s">
        <v>4658</v>
      </c>
      <c r="X836" s="6"/>
      <c r="Y836" s="6"/>
      <c r="Z836" s="6"/>
      <c r="AA836" s="6" t="s">
        <v>79</v>
      </c>
    </row>
    <row r="837" spans="1:27" s="4" customFormat="1" ht="51.95" customHeight="1">
      <c r="A837" s="5">
        <v>0</v>
      </c>
      <c r="B837" s="6" t="s">
        <v>4659</v>
      </c>
      <c r="C837" s="13">
        <v>2590</v>
      </c>
      <c r="D837" s="8" t="s">
        <v>4660</v>
      </c>
      <c r="E837" s="8" t="s">
        <v>4661</v>
      </c>
      <c r="F837" s="8" t="s">
        <v>4662</v>
      </c>
      <c r="G837" s="6" t="s">
        <v>58</v>
      </c>
      <c r="H837" s="6" t="s">
        <v>38</v>
      </c>
      <c r="I837" s="8" t="s">
        <v>93</v>
      </c>
      <c r="J837" s="9">
        <v>1</v>
      </c>
      <c r="K837" s="9">
        <v>576</v>
      </c>
      <c r="L837" s="9">
        <v>2023</v>
      </c>
      <c r="M837" s="8" t="s">
        <v>4663</v>
      </c>
      <c r="N837" s="8" t="s">
        <v>40</v>
      </c>
      <c r="O837" s="8" t="s">
        <v>41</v>
      </c>
      <c r="P837" s="6" t="s">
        <v>95</v>
      </c>
      <c r="Q837" s="8" t="s">
        <v>96</v>
      </c>
      <c r="R837" s="10" t="s">
        <v>4125</v>
      </c>
      <c r="S837" s="11" t="s">
        <v>4664</v>
      </c>
      <c r="T837" s="6"/>
      <c r="U837" s="28" t="str">
        <f>HYPERLINK("https://media.infra-m.ru/1876/1876648/cover/1876648.jpg", "Обложка")</f>
        <v>Обложка</v>
      </c>
      <c r="V837" s="28" t="str">
        <f>HYPERLINK("https://znanium.com/catalog/product/1876648", "Ознакомиться")</f>
        <v>Ознакомиться</v>
      </c>
      <c r="W837" s="8" t="s">
        <v>4665</v>
      </c>
      <c r="X837" s="6"/>
      <c r="Y837" s="6"/>
      <c r="Z837" s="6" t="s">
        <v>136</v>
      </c>
      <c r="AA837" s="6" t="s">
        <v>137</v>
      </c>
    </row>
    <row r="838" spans="1:27" s="4" customFormat="1" ht="51.95" customHeight="1">
      <c r="A838" s="5">
        <v>0</v>
      </c>
      <c r="B838" s="6" t="s">
        <v>4666</v>
      </c>
      <c r="C838" s="13">
        <v>1304.9000000000001</v>
      </c>
      <c r="D838" s="8" t="s">
        <v>4667</v>
      </c>
      <c r="E838" s="8" t="s">
        <v>4653</v>
      </c>
      <c r="F838" s="8" t="s">
        <v>4662</v>
      </c>
      <c r="G838" s="6" t="s">
        <v>58</v>
      </c>
      <c r="H838" s="6" t="s">
        <v>38</v>
      </c>
      <c r="I838" s="8"/>
      <c r="J838" s="9">
        <v>1</v>
      </c>
      <c r="K838" s="9">
        <v>384</v>
      </c>
      <c r="L838" s="9">
        <v>2019</v>
      </c>
      <c r="M838" s="8" t="s">
        <v>4668</v>
      </c>
      <c r="N838" s="8" t="s">
        <v>40</v>
      </c>
      <c r="O838" s="8" t="s">
        <v>41</v>
      </c>
      <c r="P838" s="6" t="s">
        <v>95</v>
      </c>
      <c r="Q838" s="8" t="s">
        <v>76</v>
      </c>
      <c r="R838" s="10" t="s">
        <v>4669</v>
      </c>
      <c r="S838" s="11" t="s">
        <v>4664</v>
      </c>
      <c r="T838" s="6"/>
      <c r="U838" s="28" t="str">
        <f>HYPERLINK("https://media.infra-m.ru/1081/1081407/cover/1081407.jpg", "Обложка")</f>
        <v>Обложка</v>
      </c>
      <c r="V838" s="28" t="str">
        <f>HYPERLINK("https://znanium.com/catalog/product/1876691", "Ознакомиться")</f>
        <v>Ознакомиться</v>
      </c>
      <c r="W838" s="8" t="s">
        <v>4665</v>
      </c>
      <c r="X838" s="6"/>
      <c r="Y838" s="6"/>
      <c r="Z838" s="6"/>
      <c r="AA838" s="6" t="s">
        <v>88</v>
      </c>
    </row>
    <row r="839" spans="1:27" s="4" customFormat="1" ht="51.95" customHeight="1">
      <c r="A839" s="5">
        <v>0</v>
      </c>
      <c r="B839" s="6" t="s">
        <v>4670</v>
      </c>
      <c r="C839" s="13">
        <v>1230</v>
      </c>
      <c r="D839" s="8" t="s">
        <v>4671</v>
      </c>
      <c r="E839" s="8" t="s">
        <v>4653</v>
      </c>
      <c r="F839" s="8" t="s">
        <v>4662</v>
      </c>
      <c r="G839" s="6" t="s">
        <v>37</v>
      </c>
      <c r="H839" s="6" t="s">
        <v>38</v>
      </c>
      <c r="I839" s="8" t="s">
        <v>93</v>
      </c>
      <c r="J839" s="9">
        <v>1</v>
      </c>
      <c r="K839" s="9">
        <v>384</v>
      </c>
      <c r="L839" s="9">
        <v>2019</v>
      </c>
      <c r="M839" s="8" t="s">
        <v>4672</v>
      </c>
      <c r="N839" s="8" t="s">
        <v>40</v>
      </c>
      <c r="O839" s="8" t="s">
        <v>41</v>
      </c>
      <c r="P839" s="6" t="s">
        <v>95</v>
      </c>
      <c r="Q839" s="8" t="s">
        <v>96</v>
      </c>
      <c r="R839" s="10" t="s">
        <v>4125</v>
      </c>
      <c r="S839" s="11" t="s">
        <v>4664</v>
      </c>
      <c r="T839" s="6"/>
      <c r="U839" s="28" t="str">
        <f>HYPERLINK("https://media.infra-m.ru/1020/1020226/cover/1020226.jpg", "Обложка")</f>
        <v>Обложка</v>
      </c>
      <c r="V839" s="28" t="str">
        <f>HYPERLINK("https://znanium.com/catalog/product/1876648", "Ознакомиться")</f>
        <v>Ознакомиться</v>
      </c>
      <c r="W839" s="8" t="s">
        <v>4665</v>
      </c>
      <c r="X839" s="6"/>
      <c r="Y839" s="6"/>
      <c r="Z839" s="6" t="s">
        <v>136</v>
      </c>
      <c r="AA839" s="6" t="s">
        <v>79</v>
      </c>
    </row>
    <row r="840" spans="1:27" s="4" customFormat="1" ht="51.95" customHeight="1">
      <c r="A840" s="5">
        <v>0</v>
      </c>
      <c r="B840" s="6" t="s">
        <v>4673</v>
      </c>
      <c r="C840" s="13">
        <v>2599.9</v>
      </c>
      <c r="D840" s="8" t="s">
        <v>4674</v>
      </c>
      <c r="E840" s="8" t="s">
        <v>4661</v>
      </c>
      <c r="F840" s="8" t="s">
        <v>4662</v>
      </c>
      <c r="G840" s="6" t="s">
        <v>58</v>
      </c>
      <c r="H840" s="6" t="s">
        <v>38</v>
      </c>
      <c r="I840" s="8"/>
      <c r="J840" s="9">
        <v>1</v>
      </c>
      <c r="K840" s="9">
        <v>576</v>
      </c>
      <c r="L840" s="9">
        <v>2023</v>
      </c>
      <c r="M840" s="8" t="s">
        <v>4675</v>
      </c>
      <c r="N840" s="8" t="s">
        <v>40</v>
      </c>
      <c r="O840" s="8" t="s">
        <v>41</v>
      </c>
      <c r="P840" s="6" t="s">
        <v>95</v>
      </c>
      <c r="Q840" s="8" t="s">
        <v>76</v>
      </c>
      <c r="R840" s="10" t="s">
        <v>4669</v>
      </c>
      <c r="S840" s="11" t="s">
        <v>4664</v>
      </c>
      <c r="T840" s="6"/>
      <c r="U840" s="28" t="str">
        <f>HYPERLINK("https://media.infra-m.ru/1876/1876691/cover/1876691.jpg", "Обложка")</f>
        <v>Обложка</v>
      </c>
      <c r="V840" s="28" t="str">
        <f>HYPERLINK("https://znanium.com/catalog/product/1876691", "Ознакомиться")</f>
        <v>Ознакомиться</v>
      </c>
      <c r="W840" s="8" t="s">
        <v>4665</v>
      </c>
      <c r="X840" s="6"/>
      <c r="Y840" s="6"/>
      <c r="Z840" s="6"/>
      <c r="AA840" s="6" t="s">
        <v>137</v>
      </c>
    </row>
    <row r="841" spans="1:27" s="4" customFormat="1" ht="51.95" customHeight="1">
      <c r="A841" s="5">
        <v>0</v>
      </c>
      <c r="B841" s="6" t="s">
        <v>4676</v>
      </c>
      <c r="C841" s="13">
        <v>1130</v>
      </c>
      <c r="D841" s="8" t="s">
        <v>4677</v>
      </c>
      <c r="E841" s="8" t="s">
        <v>4678</v>
      </c>
      <c r="F841" s="8" t="s">
        <v>4679</v>
      </c>
      <c r="G841" s="6" t="s">
        <v>58</v>
      </c>
      <c r="H841" s="6" t="s">
        <v>38</v>
      </c>
      <c r="I841" s="8"/>
      <c r="J841" s="9">
        <v>1</v>
      </c>
      <c r="K841" s="9">
        <v>244</v>
      </c>
      <c r="L841" s="9">
        <v>2024</v>
      </c>
      <c r="M841" s="8" t="s">
        <v>4680</v>
      </c>
      <c r="N841" s="8" t="s">
        <v>40</v>
      </c>
      <c r="O841" s="8" t="s">
        <v>41</v>
      </c>
      <c r="P841" s="6" t="s">
        <v>42</v>
      </c>
      <c r="Q841" s="8" t="s">
        <v>43</v>
      </c>
      <c r="R841" s="10" t="s">
        <v>122</v>
      </c>
      <c r="S841" s="11"/>
      <c r="T841" s="6"/>
      <c r="U841" s="28" t="str">
        <f>HYPERLINK("https://media.infra-m.ru/2089/2089301/cover/2089301.jpg", "Обложка")</f>
        <v>Обложка</v>
      </c>
      <c r="V841" s="28" t="str">
        <f>HYPERLINK("https://znanium.com/catalog/product/2089301", "Ознакомиться")</f>
        <v>Ознакомиться</v>
      </c>
      <c r="W841" s="8" t="s">
        <v>1356</v>
      </c>
      <c r="X841" s="6" t="s">
        <v>1446</v>
      </c>
      <c r="Y841" s="6"/>
      <c r="Z841" s="6"/>
      <c r="AA841" s="6" t="s">
        <v>100</v>
      </c>
    </row>
    <row r="842" spans="1:27" s="4" customFormat="1" ht="51.95" customHeight="1">
      <c r="A842" s="5">
        <v>0</v>
      </c>
      <c r="B842" s="6" t="s">
        <v>4681</v>
      </c>
      <c r="C842" s="13">
        <v>1730</v>
      </c>
      <c r="D842" s="8" t="s">
        <v>4682</v>
      </c>
      <c r="E842" s="8" t="s">
        <v>4683</v>
      </c>
      <c r="F842" s="8" t="s">
        <v>1779</v>
      </c>
      <c r="G842" s="6" t="s">
        <v>37</v>
      </c>
      <c r="H842" s="6" t="s">
        <v>38</v>
      </c>
      <c r="I842" s="8"/>
      <c r="J842" s="9">
        <v>1</v>
      </c>
      <c r="K842" s="9">
        <v>384</v>
      </c>
      <c r="L842" s="9">
        <v>2023</v>
      </c>
      <c r="M842" s="8" t="s">
        <v>4684</v>
      </c>
      <c r="N842" s="8" t="s">
        <v>40</v>
      </c>
      <c r="O842" s="8" t="s">
        <v>41</v>
      </c>
      <c r="P842" s="6" t="s">
        <v>75</v>
      </c>
      <c r="Q842" s="8" t="s">
        <v>76</v>
      </c>
      <c r="R842" s="10" t="s">
        <v>122</v>
      </c>
      <c r="S842" s="11"/>
      <c r="T842" s="6" t="s">
        <v>368</v>
      </c>
      <c r="U842" s="28" t="str">
        <f>HYPERLINK("https://media.infra-m.ru/1913/1913680/cover/1913680.jpg", "Обложка")</f>
        <v>Обложка</v>
      </c>
      <c r="V842" s="28" t="str">
        <f>HYPERLINK("https://znanium.com/catalog/product/1913680", "Ознакомиться")</f>
        <v>Ознакомиться</v>
      </c>
      <c r="W842" s="8" t="s">
        <v>1356</v>
      </c>
      <c r="X842" s="6"/>
      <c r="Y842" s="6"/>
      <c r="Z842" s="6"/>
      <c r="AA842" s="6" t="s">
        <v>298</v>
      </c>
    </row>
    <row r="843" spans="1:27" s="4" customFormat="1" ht="51.95" customHeight="1">
      <c r="A843" s="5">
        <v>0</v>
      </c>
      <c r="B843" s="6" t="s">
        <v>4685</v>
      </c>
      <c r="C843" s="13">
        <v>1320</v>
      </c>
      <c r="D843" s="8" t="s">
        <v>4686</v>
      </c>
      <c r="E843" s="8" t="s">
        <v>4687</v>
      </c>
      <c r="F843" s="8" t="s">
        <v>2246</v>
      </c>
      <c r="G843" s="6" t="s">
        <v>51</v>
      </c>
      <c r="H843" s="6" t="s">
        <v>84</v>
      </c>
      <c r="I843" s="8" t="s">
        <v>251</v>
      </c>
      <c r="J843" s="9">
        <v>1</v>
      </c>
      <c r="K843" s="9">
        <v>293</v>
      </c>
      <c r="L843" s="9">
        <v>2023</v>
      </c>
      <c r="M843" s="8" t="s">
        <v>4688</v>
      </c>
      <c r="N843" s="8" t="s">
        <v>40</v>
      </c>
      <c r="O843" s="8" t="s">
        <v>41</v>
      </c>
      <c r="P843" s="6" t="s">
        <v>42</v>
      </c>
      <c r="Q843" s="8" t="s">
        <v>43</v>
      </c>
      <c r="R843" s="10" t="s">
        <v>4689</v>
      </c>
      <c r="S843" s="11"/>
      <c r="T843" s="6"/>
      <c r="U843" s="28" t="str">
        <f>HYPERLINK("https://media.infra-m.ru/1898/1898824/cover/1898824.jpg", "Обложка")</f>
        <v>Обложка</v>
      </c>
      <c r="V843" s="28" t="str">
        <f>HYPERLINK("https://znanium.com/catalog/product/1898824", "Ознакомиться")</f>
        <v>Ознакомиться</v>
      </c>
      <c r="W843" s="8" t="s">
        <v>2249</v>
      </c>
      <c r="X843" s="6"/>
      <c r="Y843" s="6"/>
      <c r="Z843" s="6"/>
      <c r="AA843" s="6" t="s">
        <v>79</v>
      </c>
    </row>
    <row r="844" spans="1:27" s="4" customFormat="1" ht="44.1" customHeight="1">
      <c r="A844" s="5">
        <v>0</v>
      </c>
      <c r="B844" s="6" t="s">
        <v>4690</v>
      </c>
      <c r="C844" s="7">
        <v>760</v>
      </c>
      <c r="D844" s="8" t="s">
        <v>4691</v>
      </c>
      <c r="E844" s="8" t="s">
        <v>4692</v>
      </c>
      <c r="F844" s="8" t="s">
        <v>4693</v>
      </c>
      <c r="G844" s="6" t="s">
        <v>37</v>
      </c>
      <c r="H844" s="6" t="s">
        <v>38</v>
      </c>
      <c r="I844" s="8"/>
      <c r="J844" s="9">
        <v>1</v>
      </c>
      <c r="K844" s="9">
        <v>168</v>
      </c>
      <c r="L844" s="9">
        <v>2023</v>
      </c>
      <c r="M844" s="8" t="s">
        <v>4694</v>
      </c>
      <c r="N844" s="8" t="s">
        <v>40</v>
      </c>
      <c r="O844" s="8" t="s">
        <v>41</v>
      </c>
      <c r="P844" s="6" t="s">
        <v>42</v>
      </c>
      <c r="Q844" s="8" t="s">
        <v>43</v>
      </c>
      <c r="R844" s="10" t="s">
        <v>2215</v>
      </c>
      <c r="S844" s="11"/>
      <c r="T844" s="6"/>
      <c r="U844" s="28" t="str">
        <f>HYPERLINK("https://media.infra-m.ru/1991/1991044/cover/1991044.jpg", "Обложка")</f>
        <v>Обложка</v>
      </c>
      <c r="V844" s="28" t="str">
        <f>HYPERLINK("https://znanium.com/catalog/product/1991044", "Ознакомиться")</f>
        <v>Ознакомиться</v>
      </c>
      <c r="W844" s="8" t="s">
        <v>124</v>
      </c>
      <c r="X844" s="6"/>
      <c r="Y844" s="6"/>
      <c r="Z844" s="6"/>
      <c r="AA844" s="6" t="s">
        <v>343</v>
      </c>
    </row>
    <row r="845" spans="1:27" s="4" customFormat="1" ht="42" customHeight="1">
      <c r="A845" s="5">
        <v>0</v>
      </c>
      <c r="B845" s="6" t="s">
        <v>4695</v>
      </c>
      <c r="C845" s="13">
        <v>1374</v>
      </c>
      <c r="D845" s="8" t="s">
        <v>4696</v>
      </c>
      <c r="E845" s="8" t="s">
        <v>4697</v>
      </c>
      <c r="F845" s="8" t="s">
        <v>598</v>
      </c>
      <c r="G845" s="6" t="s">
        <v>37</v>
      </c>
      <c r="H845" s="6" t="s">
        <v>84</v>
      </c>
      <c r="I845" s="8" t="s">
        <v>85</v>
      </c>
      <c r="J845" s="9">
        <v>1</v>
      </c>
      <c r="K845" s="9">
        <v>304</v>
      </c>
      <c r="L845" s="9">
        <v>2023</v>
      </c>
      <c r="M845" s="8" t="s">
        <v>4698</v>
      </c>
      <c r="N845" s="8" t="s">
        <v>40</v>
      </c>
      <c r="O845" s="8" t="s">
        <v>41</v>
      </c>
      <c r="P845" s="6" t="s">
        <v>42</v>
      </c>
      <c r="Q845" s="8" t="s">
        <v>43</v>
      </c>
      <c r="R845" s="10" t="s">
        <v>896</v>
      </c>
      <c r="S845" s="11"/>
      <c r="T845" s="6"/>
      <c r="U845" s="28" t="str">
        <f>HYPERLINK("https://media.infra-m.ru/1993/1993591/cover/1993591.jpg", "Обложка")</f>
        <v>Обложка</v>
      </c>
      <c r="V845" s="28" t="str">
        <f>HYPERLINK("https://znanium.com/catalog/product/1858239", "Ознакомиться")</f>
        <v>Ознакомиться</v>
      </c>
      <c r="W845" s="8" t="s">
        <v>45</v>
      </c>
      <c r="X845" s="6"/>
      <c r="Y845" s="6"/>
      <c r="Z845" s="6"/>
      <c r="AA845" s="6" t="s">
        <v>148</v>
      </c>
    </row>
    <row r="846" spans="1:27" s="4" customFormat="1" ht="51.95" customHeight="1">
      <c r="A846" s="5">
        <v>0</v>
      </c>
      <c r="B846" s="6" t="s">
        <v>4699</v>
      </c>
      <c r="C846" s="13">
        <v>1725</v>
      </c>
      <c r="D846" s="8" t="s">
        <v>4700</v>
      </c>
      <c r="E846" s="8" t="s">
        <v>4701</v>
      </c>
      <c r="F846" s="8" t="s">
        <v>4702</v>
      </c>
      <c r="G846" s="6" t="s">
        <v>58</v>
      </c>
      <c r="H846" s="6" t="s">
        <v>38</v>
      </c>
      <c r="I846" s="8"/>
      <c r="J846" s="9">
        <v>1</v>
      </c>
      <c r="K846" s="9">
        <v>384</v>
      </c>
      <c r="L846" s="9">
        <v>2023</v>
      </c>
      <c r="M846" s="8" t="s">
        <v>4703</v>
      </c>
      <c r="N846" s="8" t="s">
        <v>40</v>
      </c>
      <c r="O846" s="8" t="s">
        <v>41</v>
      </c>
      <c r="P846" s="6" t="s">
        <v>42</v>
      </c>
      <c r="Q846" s="8" t="s">
        <v>43</v>
      </c>
      <c r="R846" s="10" t="s">
        <v>4704</v>
      </c>
      <c r="S846" s="11"/>
      <c r="T846" s="6"/>
      <c r="U846" s="28" t="str">
        <f>HYPERLINK("https://media.infra-m.ru/2006/2006084/cover/2006084.jpg", "Обложка")</f>
        <v>Обложка</v>
      </c>
      <c r="V846" s="28" t="str">
        <f>HYPERLINK("https://znanium.com/catalog/product/1092001", "Ознакомиться")</f>
        <v>Ознакомиться</v>
      </c>
      <c r="W846" s="8" t="s">
        <v>813</v>
      </c>
      <c r="X846" s="6"/>
      <c r="Y846" s="6"/>
      <c r="Z846" s="6"/>
      <c r="AA846" s="6" t="s">
        <v>148</v>
      </c>
    </row>
    <row r="847" spans="1:27" s="4" customFormat="1" ht="42" customHeight="1">
      <c r="A847" s="5">
        <v>0</v>
      </c>
      <c r="B847" s="6" t="s">
        <v>4705</v>
      </c>
      <c r="C847" s="13">
        <v>1073</v>
      </c>
      <c r="D847" s="8" t="s">
        <v>4706</v>
      </c>
      <c r="E847" s="8" t="s">
        <v>4707</v>
      </c>
      <c r="F847" s="8"/>
      <c r="G847" s="6" t="s">
        <v>58</v>
      </c>
      <c r="H847" s="6" t="s">
        <v>38</v>
      </c>
      <c r="I847" s="8"/>
      <c r="J847" s="9">
        <v>1</v>
      </c>
      <c r="K847" s="9">
        <v>148</v>
      </c>
      <c r="L847" s="9">
        <v>2023</v>
      </c>
      <c r="M847" s="8" t="s">
        <v>4708</v>
      </c>
      <c r="N847" s="8" t="s">
        <v>40</v>
      </c>
      <c r="O847" s="8" t="s">
        <v>41</v>
      </c>
      <c r="P847" s="6" t="s">
        <v>295</v>
      </c>
      <c r="Q847" s="8" t="s">
        <v>43</v>
      </c>
      <c r="R847" s="10" t="s">
        <v>69</v>
      </c>
      <c r="S847" s="11"/>
      <c r="T847" s="6"/>
      <c r="U847" s="28" t="str">
        <f>HYPERLINK("https://media.infra-m.ru/2022/2022202/cover/2022202.jpg", "Обложка")</f>
        <v>Обложка</v>
      </c>
      <c r="V847" s="28" t="str">
        <f>HYPERLINK("https://znanium.com/catalog/product/2001620", "Ознакомиться")</f>
        <v>Ознакомиться</v>
      </c>
      <c r="W847" s="8"/>
      <c r="X847" s="6" t="s">
        <v>645</v>
      </c>
      <c r="Y847" s="6"/>
      <c r="Z847" s="6"/>
      <c r="AA847" s="6" t="s">
        <v>408</v>
      </c>
    </row>
    <row r="848" spans="1:27" s="4" customFormat="1" ht="42" customHeight="1">
      <c r="A848" s="5">
        <v>0</v>
      </c>
      <c r="B848" s="6" t="s">
        <v>4709</v>
      </c>
      <c r="C848" s="13">
        <v>1584.9</v>
      </c>
      <c r="D848" s="8" t="s">
        <v>4710</v>
      </c>
      <c r="E848" s="8" t="s">
        <v>4711</v>
      </c>
      <c r="F848" s="8" t="s">
        <v>4712</v>
      </c>
      <c r="G848" s="6" t="s">
        <v>58</v>
      </c>
      <c r="H848" s="6" t="s">
        <v>38</v>
      </c>
      <c r="I848" s="8"/>
      <c r="J848" s="9">
        <v>1</v>
      </c>
      <c r="K848" s="9">
        <v>352</v>
      </c>
      <c r="L848" s="9">
        <v>2023</v>
      </c>
      <c r="M848" s="8" t="s">
        <v>4713</v>
      </c>
      <c r="N848" s="8" t="s">
        <v>40</v>
      </c>
      <c r="O848" s="8" t="s">
        <v>41</v>
      </c>
      <c r="P848" s="6" t="s">
        <v>42</v>
      </c>
      <c r="Q848" s="8" t="s">
        <v>43</v>
      </c>
      <c r="R848" s="10" t="s">
        <v>310</v>
      </c>
      <c r="S848" s="11"/>
      <c r="T848" s="6"/>
      <c r="U848" s="28" t="str">
        <f>HYPERLINK("https://media.infra-m.ru/1911/1911214/cover/1911214.jpg", "Обложка")</f>
        <v>Обложка</v>
      </c>
      <c r="V848" s="28" t="str">
        <f>HYPERLINK("https://znanium.com/catalog/product/515344", "Ознакомиться")</f>
        <v>Ознакомиться</v>
      </c>
      <c r="W848" s="8" t="s">
        <v>4714</v>
      </c>
      <c r="X848" s="6"/>
      <c r="Y848" s="6"/>
      <c r="Z848" s="6"/>
      <c r="AA848" s="6" t="s">
        <v>422</v>
      </c>
    </row>
    <row r="849" spans="1:27" s="4" customFormat="1" ht="42" customHeight="1">
      <c r="A849" s="5">
        <v>0</v>
      </c>
      <c r="B849" s="6" t="s">
        <v>4715</v>
      </c>
      <c r="C849" s="13">
        <v>1064.9000000000001</v>
      </c>
      <c r="D849" s="8" t="s">
        <v>4716</v>
      </c>
      <c r="E849" s="8" t="s">
        <v>4717</v>
      </c>
      <c r="F849" s="8" t="s">
        <v>3503</v>
      </c>
      <c r="G849" s="6" t="s">
        <v>58</v>
      </c>
      <c r="H849" s="6" t="s">
        <v>38</v>
      </c>
      <c r="I849" s="8"/>
      <c r="J849" s="9">
        <v>1</v>
      </c>
      <c r="K849" s="9">
        <v>288</v>
      </c>
      <c r="L849" s="9">
        <v>2021</v>
      </c>
      <c r="M849" s="8" t="s">
        <v>4718</v>
      </c>
      <c r="N849" s="8" t="s">
        <v>40</v>
      </c>
      <c r="O849" s="8" t="s">
        <v>41</v>
      </c>
      <c r="P849" s="6" t="s">
        <v>42</v>
      </c>
      <c r="Q849" s="8" t="s">
        <v>43</v>
      </c>
      <c r="R849" s="10" t="s">
        <v>896</v>
      </c>
      <c r="S849" s="11"/>
      <c r="T849" s="6"/>
      <c r="U849" s="28" t="str">
        <f>HYPERLINK("https://media.infra-m.ru/1221/1221171/cover/1221171.jpg", "Обложка")</f>
        <v>Обложка</v>
      </c>
      <c r="V849" s="28" t="str">
        <f>HYPERLINK("https://znanium.com/catalog/product/1221171", "Ознакомиться")</f>
        <v>Ознакомиться</v>
      </c>
      <c r="W849" s="8" t="s">
        <v>78</v>
      </c>
      <c r="X849" s="6"/>
      <c r="Y849" s="6"/>
      <c r="Z849" s="6"/>
      <c r="AA849" s="6" t="s">
        <v>148</v>
      </c>
    </row>
    <row r="850" spans="1:27" s="4" customFormat="1" ht="42" customHeight="1">
      <c r="A850" s="5">
        <v>0</v>
      </c>
      <c r="B850" s="6" t="s">
        <v>4719</v>
      </c>
      <c r="C850" s="7">
        <v>830</v>
      </c>
      <c r="D850" s="8" t="s">
        <v>4720</v>
      </c>
      <c r="E850" s="8" t="s">
        <v>4721</v>
      </c>
      <c r="F850" s="8" t="s">
        <v>4722</v>
      </c>
      <c r="G850" s="6" t="s">
        <v>37</v>
      </c>
      <c r="H850" s="6" t="s">
        <v>84</v>
      </c>
      <c r="I850" s="8" t="s">
        <v>85</v>
      </c>
      <c r="J850" s="9">
        <v>1</v>
      </c>
      <c r="K850" s="9">
        <v>184</v>
      </c>
      <c r="L850" s="9">
        <v>2023</v>
      </c>
      <c r="M850" s="8" t="s">
        <v>4723</v>
      </c>
      <c r="N850" s="8" t="s">
        <v>40</v>
      </c>
      <c r="O850" s="8" t="s">
        <v>41</v>
      </c>
      <c r="P850" s="6" t="s">
        <v>811</v>
      </c>
      <c r="Q850" s="8" t="s">
        <v>43</v>
      </c>
      <c r="R850" s="10" t="s">
        <v>1579</v>
      </c>
      <c r="S850" s="11"/>
      <c r="T850" s="6"/>
      <c r="U850" s="28" t="str">
        <f>HYPERLINK("https://media.infra-m.ru/2007/2007878/cover/2007878.jpg", "Обложка")</f>
        <v>Обложка</v>
      </c>
      <c r="V850" s="28" t="str">
        <f>HYPERLINK("https://znanium.com/catalog/product/2007878", "Ознакомиться")</f>
        <v>Ознакомиться</v>
      </c>
      <c r="W850" s="8" t="s">
        <v>1568</v>
      </c>
      <c r="X850" s="6"/>
      <c r="Y850" s="6"/>
      <c r="Z850" s="6"/>
      <c r="AA850" s="6" t="s">
        <v>88</v>
      </c>
    </row>
    <row r="851" spans="1:27" s="4" customFormat="1" ht="51.95" customHeight="1">
      <c r="A851" s="5">
        <v>0</v>
      </c>
      <c r="B851" s="6" t="s">
        <v>4724</v>
      </c>
      <c r="C851" s="13">
        <v>1514</v>
      </c>
      <c r="D851" s="8" t="s">
        <v>4725</v>
      </c>
      <c r="E851" s="8" t="s">
        <v>4726</v>
      </c>
      <c r="F851" s="8" t="s">
        <v>4727</v>
      </c>
      <c r="G851" s="6" t="s">
        <v>37</v>
      </c>
      <c r="H851" s="6" t="s">
        <v>84</v>
      </c>
      <c r="I851" s="8" t="s">
        <v>1140</v>
      </c>
      <c r="J851" s="9">
        <v>1</v>
      </c>
      <c r="K851" s="9">
        <v>329</v>
      </c>
      <c r="L851" s="9">
        <v>2024</v>
      </c>
      <c r="M851" s="8" t="s">
        <v>4728</v>
      </c>
      <c r="N851" s="8" t="s">
        <v>40</v>
      </c>
      <c r="O851" s="8" t="s">
        <v>41</v>
      </c>
      <c r="P851" s="6" t="s">
        <v>75</v>
      </c>
      <c r="Q851" s="8" t="s">
        <v>1199</v>
      </c>
      <c r="R851" s="10" t="s">
        <v>4729</v>
      </c>
      <c r="S851" s="11" t="s">
        <v>4730</v>
      </c>
      <c r="T851" s="6" t="s">
        <v>368</v>
      </c>
      <c r="U851" s="28" t="str">
        <f>HYPERLINK("https://media.infra-m.ru/2096/2096109/cover/2096109.jpg", "Обложка")</f>
        <v>Обложка</v>
      </c>
      <c r="V851" s="28" t="str">
        <f>HYPERLINK("https://znanium.com/catalog/product/1217733", "Ознакомиться")</f>
        <v>Ознакомиться</v>
      </c>
      <c r="W851" s="8" t="s">
        <v>124</v>
      </c>
      <c r="X851" s="6"/>
      <c r="Y851" s="6"/>
      <c r="Z851" s="6"/>
      <c r="AA851" s="6" t="s">
        <v>79</v>
      </c>
    </row>
    <row r="852" spans="1:27" s="4" customFormat="1" ht="42" customHeight="1">
      <c r="A852" s="5">
        <v>0</v>
      </c>
      <c r="B852" s="6" t="s">
        <v>4731</v>
      </c>
      <c r="C852" s="7">
        <v>780</v>
      </c>
      <c r="D852" s="8" t="s">
        <v>4732</v>
      </c>
      <c r="E852" s="8" t="s">
        <v>4733</v>
      </c>
      <c r="F852" s="8" t="s">
        <v>4734</v>
      </c>
      <c r="G852" s="6" t="s">
        <v>37</v>
      </c>
      <c r="H852" s="6" t="s">
        <v>38</v>
      </c>
      <c r="I852" s="8"/>
      <c r="J852" s="9">
        <v>1</v>
      </c>
      <c r="K852" s="9">
        <v>200</v>
      </c>
      <c r="L852" s="9">
        <v>2022</v>
      </c>
      <c r="M852" s="8" t="s">
        <v>4735</v>
      </c>
      <c r="N852" s="8" t="s">
        <v>40</v>
      </c>
      <c r="O852" s="8" t="s">
        <v>41</v>
      </c>
      <c r="P852" s="6" t="s">
        <v>42</v>
      </c>
      <c r="Q852" s="8" t="s">
        <v>43</v>
      </c>
      <c r="R852" s="10" t="s">
        <v>1394</v>
      </c>
      <c r="S852" s="11"/>
      <c r="T852" s="6"/>
      <c r="U852" s="28" t="str">
        <f>HYPERLINK("https://media.infra-m.ru/1855/1855605/cover/1855605.jpg", "Обложка")</f>
        <v>Обложка</v>
      </c>
      <c r="V852" s="28" t="str">
        <f>HYPERLINK("https://znanium.com/catalog/product/1855605", "Ознакомиться")</f>
        <v>Ознакомиться</v>
      </c>
      <c r="W852" s="8" t="s">
        <v>170</v>
      </c>
      <c r="X852" s="6"/>
      <c r="Y852" s="6"/>
      <c r="Z852" s="6"/>
      <c r="AA852" s="6" t="s">
        <v>62</v>
      </c>
    </row>
    <row r="853" spans="1:27" s="4" customFormat="1" ht="51.95" customHeight="1">
      <c r="A853" s="5">
        <v>0</v>
      </c>
      <c r="B853" s="6" t="s">
        <v>4736</v>
      </c>
      <c r="C853" s="7">
        <v>194.9</v>
      </c>
      <c r="D853" s="8" t="s">
        <v>4737</v>
      </c>
      <c r="E853" s="8" t="s">
        <v>4738</v>
      </c>
      <c r="F853" s="8" t="s">
        <v>4739</v>
      </c>
      <c r="G853" s="6" t="s">
        <v>51</v>
      </c>
      <c r="H853" s="6" t="s">
        <v>52</v>
      </c>
      <c r="I853" s="8" t="s">
        <v>185</v>
      </c>
      <c r="J853" s="9">
        <v>1</v>
      </c>
      <c r="K853" s="9">
        <v>54</v>
      </c>
      <c r="L853" s="9">
        <v>2020</v>
      </c>
      <c r="M853" s="8" t="s">
        <v>4740</v>
      </c>
      <c r="N853" s="8" t="s">
        <v>40</v>
      </c>
      <c r="O853" s="8" t="s">
        <v>41</v>
      </c>
      <c r="P853" s="6" t="s">
        <v>75</v>
      </c>
      <c r="Q853" s="8" t="s">
        <v>76</v>
      </c>
      <c r="R853" s="10" t="s">
        <v>4741</v>
      </c>
      <c r="S853" s="11"/>
      <c r="T853" s="6"/>
      <c r="U853" s="28" t="str">
        <f>HYPERLINK("https://media.infra-m.ru/1077/1077266/cover/1077266.jpg", "Обложка")</f>
        <v>Обложка</v>
      </c>
      <c r="V853" s="28" t="str">
        <f>HYPERLINK("https://znanium.com/catalog/product/1009318", "Ознакомиться")</f>
        <v>Ознакомиться</v>
      </c>
      <c r="W853" s="8" t="s">
        <v>4742</v>
      </c>
      <c r="X853" s="6"/>
      <c r="Y853" s="6"/>
      <c r="Z853" s="6"/>
      <c r="AA853" s="6" t="s">
        <v>298</v>
      </c>
    </row>
    <row r="854" spans="1:27" s="4" customFormat="1" ht="42" customHeight="1">
      <c r="A854" s="5">
        <v>0</v>
      </c>
      <c r="B854" s="6" t="s">
        <v>4743</v>
      </c>
      <c r="C854" s="13">
        <v>1594.9</v>
      </c>
      <c r="D854" s="8" t="s">
        <v>4744</v>
      </c>
      <c r="E854" s="8" t="s">
        <v>4745</v>
      </c>
      <c r="F854" s="8" t="s">
        <v>4746</v>
      </c>
      <c r="G854" s="6" t="s">
        <v>58</v>
      </c>
      <c r="H854" s="6" t="s">
        <v>400</v>
      </c>
      <c r="I854" s="8"/>
      <c r="J854" s="9">
        <v>1</v>
      </c>
      <c r="K854" s="9">
        <v>704</v>
      </c>
      <c r="L854" s="9">
        <v>2023</v>
      </c>
      <c r="M854" s="8"/>
      <c r="N854" s="8" t="s">
        <v>40</v>
      </c>
      <c r="O854" s="8" t="s">
        <v>41</v>
      </c>
      <c r="P854" s="6" t="s">
        <v>42</v>
      </c>
      <c r="Q854" s="8" t="s">
        <v>43</v>
      </c>
      <c r="R854" s="10" t="s">
        <v>896</v>
      </c>
      <c r="S854" s="11"/>
      <c r="T854" s="6"/>
      <c r="U854" s="28" t="str">
        <f>HYPERLINK("https://media.infra-m.ru/1842/1842556/cover/1842556.jpg", "Обложка")</f>
        <v>Обложка</v>
      </c>
      <c r="V854" s="28" t="str">
        <f>HYPERLINK("https://znanium.com/catalog/product/763682", "Ознакомиться")</f>
        <v>Ознакомиться</v>
      </c>
      <c r="W854" s="8" t="s">
        <v>414</v>
      </c>
      <c r="X854" s="6"/>
      <c r="Y854" s="6"/>
      <c r="Z854" s="6"/>
      <c r="AA854" s="6" t="s">
        <v>415</v>
      </c>
    </row>
    <row r="855" spans="1:27" s="4" customFormat="1" ht="51.95" customHeight="1">
      <c r="A855" s="5">
        <v>0</v>
      </c>
      <c r="B855" s="6" t="s">
        <v>4747</v>
      </c>
      <c r="C855" s="7">
        <v>444.9</v>
      </c>
      <c r="D855" s="8" t="s">
        <v>4748</v>
      </c>
      <c r="E855" s="8" t="s">
        <v>4749</v>
      </c>
      <c r="F855" s="8" t="s">
        <v>4750</v>
      </c>
      <c r="G855" s="6" t="s">
        <v>51</v>
      </c>
      <c r="H855" s="6" t="s">
        <v>38</v>
      </c>
      <c r="I855" s="8"/>
      <c r="J855" s="9">
        <v>1</v>
      </c>
      <c r="K855" s="9">
        <v>208</v>
      </c>
      <c r="L855" s="9">
        <v>2017</v>
      </c>
      <c r="M855" s="8" t="s">
        <v>4751</v>
      </c>
      <c r="N855" s="8" t="s">
        <v>40</v>
      </c>
      <c r="O855" s="8" t="s">
        <v>41</v>
      </c>
      <c r="P855" s="6" t="s">
        <v>4752</v>
      </c>
      <c r="Q855" s="8" t="s">
        <v>76</v>
      </c>
      <c r="R855" s="10" t="s">
        <v>310</v>
      </c>
      <c r="S855" s="11" t="s">
        <v>4753</v>
      </c>
      <c r="T855" s="6"/>
      <c r="U855" s="28" t="str">
        <f>HYPERLINK("https://media.infra-m.ru/0851/0851542/cover/851542.jpg", "Обложка")</f>
        <v>Обложка</v>
      </c>
      <c r="V855" s="28" t="str">
        <f>HYPERLINK("https://znanium.com/catalog/product/1178109", "Ознакомиться")</f>
        <v>Ознакомиться</v>
      </c>
      <c r="W855" s="8" t="s">
        <v>4754</v>
      </c>
      <c r="X855" s="6"/>
      <c r="Y855" s="6"/>
      <c r="Z855" s="6"/>
      <c r="AA855" s="6" t="s">
        <v>289</v>
      </c>
    </row>
    <row r="856" spans="1:27" s="4" customFormat="1" ht="51.95" customHeight="1">
      <c r="A856" s="5">
        <v>0</v>
      </c>
      <c r="B856" s="6" t="s">
        <v>4755</v>
      </c>
      <c r="C856" s="13">
        <v>1034</v>
      </c>
      <c r="D856" s="8" t="s">
        <v>4756</v>
      </c>
      <c r="E856" s="8" t="s">
        <v>4757</v>
      </c>
      <c r="F856" s="8" t="s">
        <v>4750</v>
      </c>
      <c r="G856" s="6" t="s">
        <v>58</v>
      </c>
      <c r="H856" s="6" t="s">
        <v>38</v>
      </c>
      <c r="I856" s="8"/>
      <c r="J856" s="9">
        <v>1</v>
      </c>
      <c r="K856" s="9">
        <v>224</v>
      </c>
      <c r="L856" s="9">
        <v>2023</v>
      </c>
      <c r="M856" s="8" t="s">
        <v>4758</v>
      </c>
      <c r="N856" s="8" t="s">
        <v>40</v>
      </c>
      <c r="O856" s="8" t="s">
        <v>41</v>
      </c>
      <c r="P856" s="6" t="s">
        <v>4752</v>
      </c>
      <c r="Q856" s="8" t="s">
        <v>76</v>
      </c>
      <c r="R856" s="10" t="s">
        <v>310</v>
      </c>
      <c r="S856" s="11" t="s">
        <v>4753</v>
      </c>
      <c r="T856" s="6"/>
      <c r="U856" s="28" t="str">
        <f>HYPERLINK("https://media.infra-m.ru/2045/2045923/cover/2045923.jpg", "Обложка")</f>
        <v>Обложка</v>
      </c>
      <c r="V856" s="28" t="str">
        <f>HYPERLINK("https://znanium.com/catalog/product/1178109", "Ознакомиться")</f>
        <v>Ознакомиться</v>
      </c>
      <c r="W856" s="8" t="s">
        <v>4754</v>
      </c>
      <c r="X856" s="6"/>
      <c r="Y856" s="6"/>
      <c r="Z856" s="6"/>
      <c r="AA856" s="6" t="s">
        <v>320</v>
      </c>
    </row>
    <row r="857" spans="1:27" s="4" customFormat="1" ht="51.95" customHeight="1">
      <c r="A857" s="5">
        <v>0</v>
      </c>
      <c r="B857" s="6" t="s">
        <v>4759</v>
      </c>
      <c r="C857" s="7">
        <v>724.9</v>
      </c>
      <c r="D857" s="8" t="s">
        <v>4760</v>
      </c>
      <c r="E857" s="8" t="s">
        <v>4761</v>
      </c>
      <c r="F857" s="8" t="s">
        <v>4762</v>
      </c>
      <c r="G857" s="6" t="s">
        <v>51</v>
      </c>
      <c r="H857" s="6" t="s">
        <v>272</v>
      </c>
      <c r="I857" s="8"/>
      <c r="J857" s="9">
        <v>1</v>
      </c>
      <c r="K857" s="9">
        <v>160</v>
      </c>
      <c r="L857" s="9">
        <v>2023</v>
      </c>
      <c r="M857" s="8" t="s">
        <v>4763</v>
      </c>
      <c r="N857" s="8" t="s">
        <v>40</v>
      </c>
      <c r="O857" s="8" t="s">
        <v>41</v>
      </c>
      <c r="P857" s="6" t="s">
        <v>75</v>
      </c>
      <c r="Q857" s="8" t="s">
        <v>76</v>
      </c>
      <c r="R857" s="10" t="s">
        <v>4130</v>
      </c>
      <c r="S857" s="11"/>
      <c r="T857" s="6"/>
      <c r="U857" s="28" t="str">
        <f>HYPERLINK("https://media.infra-m.ru/1899/1899817/cover/1899817.jpg", "Обложка")</f>
        <v>Обложка</v>
      </c>
      <c r="V857" s="28" t="str">
        <f>HYPERLINK("https://znanium.com/catalog/product/1173754", "Ознакомиться")</f>
        <v>Ознакомиться</v>
      </c>
      <c r="W857" s="8" t="s">
        <v>4320</v>
      </c>
      <c r="X857" s="6"/>
      <c r="Y857" s="6"/>
      <c r="Z857" s="6"/>
      <c r="AA857" s="6" t="s">
        <v>2442</v>
      </c>
    </row>
    <row r="858" spans="1:27" s="4" customFormat="1" ht="51.95" customHeight="1">
      <c r="A858" s="5">
        <v>0</v>
      </c>
      <c r="B858" s="6" t="s">
        <v>4764</v>
      </c>
      <c r="C858" s="13">
        <v>1360</v>
      </c>
      <c r="D858" s="8" t="s">
        <v>4765</v>
      </c>
      <c r="E858" s="8" t="s">
        <v>4766</v>
      </c>
      <c r="F858" s="8" t="s">
        <v>4767</v>
      </c>
      <c r="G858" s="6" t="s">
        <v>37</v>
      </c>
      <c r="H858" s="6" t="s">
        <v>38</v>
      </c>
      <c r="I858" s="8"/>
      <c r="J858" s="9">
        <v>1</v>
      </c>
      <c r="K858" s="9">
        <v>304</v>
      </c>
      <c r="L858" s="9">
        <v>2020</v>
      </c>
      <c r="M858" s="8" t="s">
        <v>4768</v>
      </c>
      <c r="N858" s="8" t="s">
        <v>40</v>
      </c>
      <c r="O858" s="8" t="s">
        <v>41</v>
      </c>
      <c r="P858" s="6" t="s">
        <v>95</v>
      </c>
      <c r="Q858" s="8" t="s">
        <v>76</v>
      </c>
      <c r="R858" s="10" t="s">
        <v>4130</v>
      </c>
      <c r="S858" s="11"/>
      <c r="T858" s="6"/>
      <c r="U858" s="28" t="str">
        <f>HYPERLINK("https://media.infra-m.ru/1105/1105866/cover/1105866.jpg", "Обложка")</f>
        <v>Обложка</v>
      </c>
      <c r="V858" s="28" t="str">
        <f>HYPERLINK("https://znanium.com/catalog/product/1105866", "Ознакомиться")</f>
        <v>Ознакомиться</v>
      </c>
      <c r="W858" s="8" t="s">
        <v>78</v>
      </c>
      <c r="X858" s="6"/>
      <c r="Y858" s="6"/>
      <c r="Z858" s="6"/>
      <c r="AA858" s="6" t="s">
        <v>88</v>
      </c>
    </row>
    <row r="859" spans="1:27" s="4" customFormat="1" ht="51.95" customHeight="1">
      <c r="A859" s="5">
        <v>0</v>
      </c>
      <c r="B859" s="6" t="s">
        <v>4769</v>
      </c>
      <c r="C859" s="13">
        <v>1990</v>
      </c>
      <c r="D859" s="8" t="s">
        <v>4770</v>
      </c>
      <c r="E859" s="8" t="s">
        <v>4766</v>
      </c>
      <c r="F859" s="8" t="s">
        <v>882</v>
      </c>
      <c r="G859" s="6" t="s">
        <v>58</v>
      </c>
      <c r="H859" s="6" t="s">
        <v>52</v>
      </c>
      <c r="I859" s="8" t="s">
        <v>2171</v>
      </c>
      <c r="J859" s="9">
        <v>1</v>
      </c>
      <c r="K859" s="9">
        <v>435</v>
      </c>
      <c r="L859" s="9">
        <v>2023</v>
      </c>
      <c r="M859" s="8" t="s">
        <v>4771</v>
      </c>
      <c r="N859" s="8" t="s">
        <v>40</v>
      </c>
      <c r="O859" s="8" t="s">
        <v>41</v>
      </c>
      <c r="P859" s="6" t="s">
        <v>95</v>
      </c>
      <c r="Q859" s="8" t="s">
        <v>76</v>
      </c>
      <c r="R859" s="10" t="s">
        <v>4772</v>
      </c>
      <c r="S859" s="11"/>
      <c r="T859" s="6"/>
      <c r="U859" s="28" t="str">
        <f>HYPERLINK("https://media.infra-m.ru/1916/1916381/cover/1916381.jpg", "Обложка")</f>
        <v>Обложка</v>
      </c>
      <c r="V859" s="12"/>
      <c r="W859" s="8" t="s">
        <v>884</v>
      </c>
      <c r="X859" s="6"/>
      <c r="Y859" s="6"/>
      <c r="Z859" s="6"/>
      <c r="AA859" s="6" t="s">
        <v>343</v>
      </c>
    </row>
    <row r="860" spans="1:27" s="4" customFormat="1" ht="51.95" customHeight="1">
      <c r="A860" s="5">
        <v>0</v>
      </c>
      <c r="B860" s="6" t="s">
        <v>4773</v>
      </c>
      <c r="C860" s="13">
        <v>1564.9</v>
      </c>
      <c r="D860" s="8" t="s">
        <v>4774</v>
      </c>
      <c r="E860" s="8" t="s">
        <v>4775</v>
      </c>
      <c r="F860" s="8" t="s">
        <v>4776</v>
      </c>
      <c r="G860" s="6" t="s">
        <v>58</v>
      </c>
      <c r="H860" s="6" t="s">
        <v>52</v>
      </c>
      <c r="I860" s="8" t="s">
        <v>185</v>
      </c>
      <c r="J860" s="9">
        <v>1</v>
      </c>
      <c r="K860" s="9">
        <v>422</v>
      </c>
      <c r="L860" s="9">
        <v>2021</v>
      </c>
      <c r="M860" s="8" t="s">
        <v>4777</v>
      </c>
      <c r="N860" s="8" t="s">
        <v>40</v>
      </c>
      <c r="O860" s="8" t="s">
        <v>41</v>
      </c>
      <c r="P860" s="6" t="s">
        <v>95</v>
      </c>
      <c r="Q860" s="8" t="s">
        <v>76</v>
      </c>
      <c r="R860" s="10" t="s">
        <v>4778</v>
      </c>
      <c r="S860" s="11" t="s">
        <v>4779</v>
      </c>
      <c r="T860" s="6"/>
      <c r="U860" s="28" t="str">
        <f>HYPERLINK("https://media.infra-m.ru/1663/1663731/cover/1663731.jpg", "Обложка")</f>
        <v>Обложка</v>
      </c>
      <c r="V860" s="28" t="str">
        <f>HYPERLINK("https://znanium.com/catalog/product/1663731", "Ознакомиться")</f>
        <v>Ознакомиться</v>
      </c>
      <c r="W860" s="8" t="s">
        <v>2373</v>
      </c>
      <c r="X860" s="6"/>
      <c r="Y860" s="6"/>
      <c r="Z860" s="6"/>
      <c r="AA860" s="6" t="s">
        <v>559</v>
      </c>
    </row>
    <row r="861" spans="1:27" s="4" customFormat="1" ht="51.95" customHeight="1">
      <c r="A861" s="5">
        <v>0</v>
      </c>
      <c r="B861" s="6" t="s">
        <v>4780</v>
      </c>
      <c r="C861" s="13">
        <v>1890</v>
      </c>
      <c r="D861" s="8" t="s">
        <v>4781</v>
      </c>
      <c r="E861" s="8" t="s">
        <v>4782</v>
      </c>
      <c r="F861" s="8" t="s">
        <v>4776</v>
      </c>
      <c r="G861" s="6" t="s">
        <v>37</v>
      </c>
      <c r="H861" s="6" t="s">
        <v>52</v>
      </c>
      <c r="I861" s="8" t="s">
        <v>185</v>
      </c>
      <c r="J861" s="9">
        <v>1</v>
      </c>
      <c r="K861" s="9">
        <v>421</v>
      </c>
      <c r="L861" s="9">
        <v>2023</v>
      </c>
      <c r="M861" s="8" t="s">
        <v>4783</v>
      </c>
      <c r="N861" s="8" t="s">
        <v>40</v>
      </c>
      <c r="O861" s="8" t="s">
        <v>41</v>
      </c>
      <c r="P861" s="6" t="s">
        <v>95</v>
      </c>
      <c r="Q861" s="8" t="s">
        <v>76</v>
      </c>
      <c r="R861" s="10" t="s">
        <v>4778</v>
      </c>
      <c r="S861" s="11" t="s">
        <v>4779</v>
      </c>
      <c r="T861" s="6"/>
      <c r="U861" s="28" t="str">
        <f>HYPERLINK("https://media.infra-m.ru/1939/1939057/cover/1939057.jpg", "Обложка")</f>
        <v>Обложка</v>
      </c>
      <c r="V861" s="28" t="str">
        <f>HYPERLINK("https://znanium.com/catalog/product/1663731", "Ознакомиться")</f>
        <v>Ознакомиться</v>
      </c>
      <c r="W861" s="8" t="s">
        <v>2373</v>
      </c>
      <c r="X861" s="6"/>
      <c r="Y861" s="6"/>
      <c r="Z861" s="6"/>
      <c r="AA861" s="6" t="s">
        <v>646</v>
      </c>
    </row>
    <row r="862" spans="1:27" s="4" customFormat="1" ht="51.95" customHeight="1">
      <c r="A862" s="5">
        <v>0</v>
      </c>
      <c r="B862" s="6" t="s">
        <v>4784</v>
      </c>
      <c r="C862" s="13">
        <v>1630</v>
      </c>
      <c r="D862" s="8" t="s">
        <v>4785</v>
      </c>
      <c r="E862" s="8" t="s">
        <v>4766</v>
      </c>
      <c r="F862" s="8" t="s">
        <v>4786</v>
      </c>
      <c r="G862" s="6" t="s">
        <v>58</v>
      </c>
      <c r="H862" s="6" t="s">
        <v>84</v>
      </c>
      <c r="I862" s="8" t="s">
        <v>93</v>
      </c>
      <c r="J862" s="9">
        <v>1</v>
      </c>
      <c r="K862" s="9">
        <v>428</v>
      </c>
      <c r="L862" s="9">
        <v>2022</v>
      </c>
      <c r="M862" s="8" t="s">
        <v>4787</v>
      </c>
      <c r="N862" s="8" t="s">
        <v>40</v>
      </c>
      <c r="O862" s="8" t="s">
        <v>41</v>
      </c>
      <c r="P862" s="6" t="s">
        <v>95</v>
      </c>
      <c r="Q862" s="8" t="s">
        <v>96</v>
      </c>
      <c r="R862" s="10" t="s">
        <v>4065</v>
      </c>
      <c r="S862" s="11" t="s">
        <v>4788</v>
      </c>
      <c r="T862" s="6"/>
      <c r="U862" s="28" t="str">
        <f>HYPERLINK("https://media.infra-m.ru/1816/1816810/cover/1816810.jpg", "Обложка")</f>
        <v>Обложка</v>
      </c>
      <c r="V862" s="28" t="str">
        <f>HYPERLINK("https://znanium.com/catalog/product/1816810", "Ознакомиться")</f>
        <v>Ознакомиться</v>
      </c>
      <c r="W862" s="8" t="s">
        <v>3184</v>
      </c>
      <c r="X862" s="6"/>
      <c r="Y862" s="6"/>
      <c r="Z862" s="6" t="s">
        <v>136</v>
      </c>
      <c r="AA862" s="6" t="s">
        <v>343</v>
      </c>
    </row>
    <row r="863" spans="1:27" s="4" customFormat="1" ht="51.95" customHeight="1">
      <c r="A863" s="5">
        <v>0</v>
      </c>
      <c r="B863" s="6" t="s">
        <v>4789</v>
      </c>
      <c r="C863" s="13">
        <v>1930</v>
      </c>
      <c r="D863" s="8" t="s">
        <v>4790</v>
      </c>
      <c r="E863" s="8" t="s">
        <v>4766</v>
      </c>
      <c r="F863" s="8" t="s">
        <v>4786</v>
      </c>
      <c r="G863" s="6" t="s">
        <v>37</v>
      </c>
      <c r="H863" s="6" t="s">
        <v>84</v>
      </c>
      <c r="I863" s="8" t="s">
        <v>185</v>
      </c>
      <c r="J863" s="9">
        <v>1</v>
      </c>
      <c r="K863" s="9">
        <v>428</v>
      </c>
      <c r="L863" s="9">
        <v>2023</v>
      </c>
      <c r="M863" s="8" t="s">
        <v>4791</v>
      </c>
      <c r="N863" s="8" t="s">
        <v>40</v>
      </c>
      <c r="O863" s="8" t="s">
        <v>41</v>
      </c>
      <c r="P863" s="6" t="s">
        <v>95</v>
      </c>
      <c r="Q863" s="8" t="s">
        <v>76</v>
      </c>
      <c r="R863" s="10" t="s">
        <v>4792</v>
      </c>
      <c r="S863" s="11" t="s">
        <v>4793</v>
      </c>
      <c r="T863" s="6"/>
      <c r="U863" s="28" t="str">
        <f>HYPERLINK("https://media.infra-m.ru/1930/1930683/cover/1930683.jpg", "Обложка")</f>
        <v>Обложка</v>
      </c>
      <c r="V863" s="28" t="str">
        <f>HYPERLINK("https://znanium.com/catalog/product/1930683", "Ознакомиться")</f>
        <v>Ознакомиться</v>
      </c>
      <c r="W863" s="8" t="s">
        <v>3184</v>
      </c>
      <c r="X863" s="6"/>
      <c r="Y863" s="6"/>
      <c r="Z863" s="6"/>
      <c r="AA863" s="6" t="s">
        <v>62</v>
      </c>
    </row>
    <row r="864" spans="1:27" s="4" customFormat="1" ht="51.95" customHeight="1">
      <c r="A864" s="5">
        <v>0</v>
      </c>
      <c r="B864" s="6" t="s">
        <v>4794</v>
      </c>
      <c r="C864" s="13">
        <v>1770</v>
      </c>
      <c r="D864" s="8" t="s">
        <v>4795</v>
      </c>
      <c r="E864" s="8" t="s">
        <v>4796</v>
      </c>
      <c r="F864" s="8" t="s">
        <v>4797</v>
      </c>
      <c r="G864" s="6" t="s">
        <v>37</v>
      </c>
      <c r="H864" s="6" t="s">
        <v>38</v>
      </c>
      <c r="I864" s="8"/>
      <c r="J864" s="9">
        <v>1</v>
      </c>
      <c r="K864" s="9">
        <v>384</v>
      </c>
      <c r="L864" s="9">
        <v>2024</v>
      </c>
      <c r="M864" s="8" t="s">
        <v>4798</v>
      </c>
      <c r="N864" s="8" t="s">
        <v>40</v>
      </c>
      <c r="O864" s="8" t="s">
        <v>41</v>
      </c>
      <c r="P864" s="6" t="s">
        <v>42</v>
      </c>
      <c r="Q864" s="8" t="s">
        <v>296</v>
      </c>
      <c r="R864" s="10" t="s">
        <v>4799</v>
      </c>
      <c r="S864" s="11"/>
      <c r="T864" s="6"/>
      <c r="U864" s="28" t="str">
        <f>HYPERLINK("https://media.infra-m.ru/2119/2119930/cover/2119930.jpg", "Обложка")</f>
        <v>Обложка</v>
      </c>
      <c r="V864" s="28" t="str">
        <f>HYPERLINK("https://znanium.com/catalog/product/2119930", "Ознакомиться")</f>
        <v>Ознакомиться</v>
      </c>
      <c r="W864" s="8" t="s">
        <v>107</v>
      </c>
      <c r="X864" s="6"/>
      <c r="Y864" s="6"/>
      <c r="Z864" s="6"/>
      <c r="AA864" s="6" t="s">
        <v>415</v>
      </c>
    </row>
    <row r="865" spans="1:27" s="4" customFormat="1" ht="51.95" customHeight="1">
      <c r="A865" s="5">
        <v>0</v>
      </c>
      <c r="B865" s="6" t="s">
        <v>4800</v>
      </c>
      <c r="C865" s="13">
        <v>1000</v>
      </c>
      <c r="D865" s="8" t="s">
        <v>4801</v>
      </c>
      <c r="E865" s="8" t="s">
        <v>4802</v>
      </c>
      <c r="F865" s="8" t="s">
        <v>4803</v>
      </c>
      <c r="G865" s="6" t="s">
        <v>37</v>
      </c>
      <c r="H865" s="6" t="s">
        <v>52</v>
      </c>
      <c r="I865" s="8" t="s">
        <v>2171</v>
      </c>
      <c r="J865" s="9">
        <v>1</v>
      </c>
      <c r="K865" s="9">
        <v>221</v>
      </c>
      <c r="L865" s="9">
        <v>2022</v>
      </c>
      <c r="M865" s="8" t="s">
        <v>4804</v>
      </c>
      <c r="N865" s="8" t="s">
        <v>40</v>
      </c>
      <c r="O865" s="8" t="s">
        <v>41</v>
      </c>
      <c r="P865" s="6" t="s">
        <v>95</v>
      </c>
      <c r="Q865" s="8" t="s">
        <v>96</v>
      </c>
      <c r="R865" s="10" t="s">
        <v>4805</v>
      </c>
      <c r="S865" s="11" t="s">
        <v>194</v>
      </c>
      <c r="T865" s="6"/>
      <c r="U865" s="28" t="str">
        <f>HYPERLINK("https://media.infra-m.ru/1920/1920494/cover/1920494.jpg", "Обложка")</f>
        <v>Обложка</v>
      </c>
      <c r="V865" s="28" t="str">
        <f>HYPERLINK("https://znanium.com/catalog/product/1920494", "Ознакомиться")</f>
        <v>Ознакомиться</v>
      </c>
      <c r="W865" s="8" t="s">
        <v>4806</v>
      </c>
      <c r="X865" s="6"/>
      <c r="Y865" s="6"/>
      <c r="Z865" s="6"/>
      <c r="AA865" s="6" t="s">
        <v>1223</v>
      </c>
    </row>
    <row r="866" spans="1:27" s="4" customFormat="1" ht="51.95" customHeight="1">
      <c r="A866" s="5">
        <v>0</v>
      </c>
      <c r="B866" s="6" t="s">
        <v>4807</v>
      </c>
      <c r="C866" s="13">
        <v>1100</v>
      </c>
      <c r="D866" s="8" t="s">
        <v>4808</v>
      </c>
      <c r="E866" s="8" t="s">
        <v>4809</v>
      </c>
      <c r="F866" s="8" t="s">
        <v>4803</v>
      </c>
      <c r="G866" s="6" t="s">
        <v>37</v>
      </c>
      <c r="H866" s="6" t="s">
        <v>52</v>
      </c>
      <c r="I866" s="8" t="s">
        <v>2171</v>
      </c>
      <c r="J866" s="9">
        <v>1</v>
      </c>
      <c r="K866" s="9">
        <v>212</v>
      </c>
      <c r="L866" s="9">
        <v>2024</v>
      </c>
      <c r="M866" s="8" t="s">
        <v>4810</v>
      </c>
      <c r="N866" s="8" t="s">
        <v>40</v>
      </c>
      <c r="O866" s="8" t="s">
        <v>41</v>
      </c>
      <c r="P866" s="6" t="s">
        <v>95</v>
      </c>
      <c r="Q866" s="8" t="s">
        <v>96</v>
      </c>
      <c r="R866" s="10" t="s">
        <v>4805</v>
      </c>
      <c r="S866" s="11" t="s">
        <v>194</v>
      </c>
      <c r="T866" s="6"/>
      <c r="U866" s="28" t="str">
        <f>HYPERLINK("https://media.infra-m.ru/2085/2085098/cover/2085098.jpg", "Обложка")</f>
        <v>Обложка</v>
      </c>
      <c r="V866" s="28" t="str">
        <f>HYPERLINK("https://znanium.com/catalog/product/1920494", "Ознакомиться")</f>
        <v>Ознакомиться</v>
      </c>
      <c r="W866" s="8" t="s">
        <v>4806</v>
      </c>
      <c r="X866" s="6" t="s">
        <v>381</v>
      </c>
      <c r="Y866" s="6"/>
      <c r="Z866" s="6"/>
      <c r="AA866" s="6" t="s">
        <v>4811</v>
      </c>
    </row>
    <row r="867" spans="1:27" s="4" customFormat="1" ht="51.95" customHeight="1">
      <c r="A867" s="5">
        <v>0</v>
      </c>
      <c r="B867" s="6" t="s">
        <v>4812</v>
      </c>
      <c r="C867" s="7">
        <v>890</v>
      </c>
      <c r="D867" s="8" t="s">
        <v>4813</v>
      </c>
      <c r="E867" s="8" t="s">
        <v>4814</v>
      </c>
      <c r="F867" s="8" t="s">
        <v>4815</v>
      </c>
      <c r="G867" s="6" t="s">
        <v>58</v>
      </c>
      <c r="H867" s="6" t="s">
        <v>84</v>
      </c>
      <c r="I867" s="8" t="s">
        <v>251</v>
      </c>
      <c r="J867" s="9">
        <v>1</v>
      </c>
      <c r="K867" s="9">
        <v>180</v>
      </c>
      <c r="L867" s="9">
        <v>2023</v>
      </c>
      <c r="M867" s="8" t="s">
        <v>4816</v>
      </c>
      <c r="N867" s="8" t="s">
        <v>40</v>
      </c>
      <c r="O867" s="8" t="s">
        <v>41</v>
      </c>
      <c r="P867" s="6" t="s">
        <v>42</v>
      </c>
      <c r="Q867" s="8" t="s">
        <v>43</v>
      </c>
      <c r="R867" s="10" t="s">
        <v>4817</v>
      </c>
      <c r="S867" s="11"/>
      <c r="T867" s="6"/>
      <c r="U867" s="28" t="str">
        <f>HYPERLINK("https://media.infra-m.ru/1911/1911711/cover/1911711.jpg", "Обложка")</f>
        <v>Обложка</v>
      </c>
      <c r="V867" s="28" t="str">
        <f>HYPERLINK("https://znanium.com/catalog/product/1911711", "Ознакомиться")</f>
        <v>Ознакомиться</v>
      </c>
      <c r="W867" s="8" t="s">
        <v>4531</v>
      </c>
      <c r="X867" s="6" t="s">
        <v>645</v>
      </c>
      <c r="Y867" s="6"/>
      <c r="Z867" s="6"/>
      <c r="AA867" s="6" t="s">
        <v>408</v>
      </c>
    </row>
    <row r="868" spans="1:27" s="4" customFormat="1" ht="51.95" customHeight="1">
      <c r="A868" s="5">
        <v>0</v>
      </c>
      <c r="B868" s="6" t="s">
        <v>4818</v>
      </c>
      <c r="C868" s="13">
        <v>1200</v>
      </c>
      <c r="D868" s="8" t="s">
        <v>4819</v>
      </c>
      <c r="E868" s="8" t="s">
        <v>4820</v>
      </c>
      <c r="F868" s="8" t="s">
        <v>4821</v>
      </c>
      <c r="G868" s="6" t="s">
        <v>37</v>
      </c>
      <c r="H868" s="6" t="s">
        <v>84</v>
      </c>
      <c r="I868" s="8" t="s">
        <v>316</v>
      </c>
      <c r="J868" s="9">
        <v>1</v>
      </c>
      <c r="K868" s="9">
        <v>268</v>
      </c>
      <c r="L868" s="9">
        <v>2022</v>
      </c>
      <c r="M868" s="8" t="s">
        <v>4822</v>
      </c>
      <c r="N868" s="8" t="s">
        <v>40</v>
      </c>
      <c r="O868" s="8" t="s">
        <v>41</v>
      </c>
      <c r="P868" s="6" t="s">
        <v>75</v>
      </c>
      <c r="Q868" s="8" t="s">
        <v>157</v>
      </c>
      <c r="R868" s="10" t="s">
        <v>4823</v>
      </c>
      <c r="S868" s="11" t="s">
        <v>4824</v>
      </c>
      <c r="T868" s="6" t="s">
        <v>368</v>
      </c>
      <c r="U868" s="28" t="str">
        <f>HYPERLINK("https://media.infra-m.ru/1862/1862393/cover/1862393.jpg", "Обложка")</f>
        <v>Обложка</v>
      </c>
      <c r="V868" s="28" t="str">
        <f>HYPERLINK("https://znanium.com/catalog/product/1862393", "Ознакомиться")</f>
        <v>Ознакомиться</v>
      </c>
      <c r="W868" s="8" t="s">
        <v>465</v>
      </c>
      <c r="X868" s="6"/>
      <c r="Y868" s="6"/>
      <c r="Z868" s="6"/>
      <c r="AA868" s="6" t="s">
        <v>298</v>
      </c>
    </row>
    <row r="869" spans="1:27" s="4" customFormat="1" ht="51.95" customHeight="1">
      <c r="A869" s="5">
        <v>0</v>
      </c>
      <c r="B869" s="6" t="s">
        <v>4825</v>
      </c>
      <c r="C869" s="7">
        <v>874.9</v>
      </c>
      <c r="D869" s="8" t="s">
        <v>4826</v>
      </c>
      <c r="E869" s="8" t="s">
        <v>4827</v>
      </c>
      <c r="F869" s="8" t="s">
        <v>1565</v>
      </c>
      <c r="G869" s="6" t="s">
        <v>37</v>
      </c>
      <c r="H869" s="6" t="s">
        <v>84</v>
      </c>
      <c r="I869" s="8" t="s">
        <v>120</v>
      </c>
      <c r="J869" s="9">
        <v>1</v>
      </c>
      <c r="K869" s="9">
        <v>187</v>
      </c>
      <c r="L869" s="9">
        <v>2022</v>
      </c>
      <c r="M869" s="8" t="s">
        <v>4828</v>
      </c>
      <c r="N869" s="8" t="s">
        <v>40</v>
      </c>
      <c r="O869" s="8" t="s">
        <v>41</v>
      </c>
      <c r="P869" s="6" t="s">
        <v>75</v>
      </c>
      <c r="Q869" s="8" t="s">
        <v>680</v>
      </c>
      <c r="R869" s="10" t="s">
        <v>4829</v>
      </c>
      <c r="S869" s="11" t="s">
        <v>4830</v>
      </c>
      <c r="T869" s="6"/>
      <c r="U869" s="28" t="str">
        <f>HYPERLINK("https://media.infra-m.ru/2048/2048897/cover/2048897.jpg", "Обложка")</f>
        <v>Обложка</v>
      </c>
      <c r="V869" s="28" t="str">
        <f>HYPERLINK("https://znanium.com/catalog/product/2038342", "Ознакомиться")</f>
        <v>Ознакомиться</v>
      </c>
      <c r="W869" s="8" t="s">
        <v>1568</v>
      </c>
      <c r="X869" s="6"/>
      <c r="Y869" s="6"/>
      <c r="Z869" s="6"/>
      <c r="AA869" s="6" t="s">
        <v>343</v>
      </c>
    </row>
    <row r="870" spans="1:27" s="4" customFormat="1" ht="51.95" customHeight="1">
      <c r="A870" s="5">
        <v>0</v>
      </c>
      <c r="B870" s="6" t="s">
        <v>4831</v>
      </c>
      <c r="C870" s="7">
        <v>860</v>
      </c>
      <c r="D870" s="8" t="s">
        <v>4832</v>
      </c>
      <c r="E870" s="8" t="s">
        <v>4833</v>
      </c>
      <c r="F870" s="8" t="s">
        <v>3562</v>
      </c>
      <c r="G870" s="6" t="s">
        <v>37</v>
      </c>
      <c r="H870" s="6" t="s">
        <v>38</v>
      </c>
      <c r="I870" s="8"/>
      <c r="J870" s="9">
        <v>1</v>
      </c>
      <c r="K870" s="9">
        <v>192</v>
      </c>
      <c r="L870" s="9">
        <v>2023</v>
      </c>
      <c r="M870" s="8" t="s">
        <v>4834</v>
      </c>
      <c r="N870" s="8" t="s">
        <v>40</v>
      </c>
      <c r="O870" s="8" t="s">
        <v>41</v>
      </c>
      <c r="P870" s="6" t="s">
        <v>75</v>
      </c>
      <c r="Q870" s="8" t="s">
        <v>157</v>
      </c>
      <c r="R870" s="10" t="s">
        <v>4835</v>
      </c>
      <c r="S870" s="11"/>
      <c r="T870" s="6"/>
      <c r="U870" s="28" t="str">
        <f>HYPERLINK("https://media.infra-m.ru/1898/1898962/cover/1898962.jpg", "Обложка")</f>
        <v>Обложка</v>
      </c>
      <c r="V870" s="28" t="str">
        <f>HYPERLINK("https://znanium.com/catalog/product/1898962", "Ознакомиться")</f>
        <v>Ознакомиться</v>
      </c>
      <c r="W870" s="8" t="s">
        <v>114</v>
      </c>
      <c r="X870" s="6"/>
      <c r="Y870" s="6"/>
      <c r="Z870" s="6"/>
      <c r="AA870" s="6" t="s">
        <v>46</v>
      </c>
    </row>
    <row r="871" spans="1:27" s="4" customFormat="1" ht="51.95" customHeight="1">
      <c r="A871" s="5">
        <v>0</v>
      </c>
      <c r="B871" s="6" t="s">
        <v>4836</v>
      </c>
      <c r="C871" s="7">
        <v>944.9</v>
      </c>
      <c r="D871" s="8" t="s">
        <v>4837</v>
      </c>
      <c r="E871" s="8" t="s">
        <v>4838</v>
      </c>
      <c r="F871" s="8" t="s">
        <v>4839</v>
      </c>
      <c r="G871" s="6" t="s">
        <v>51</v>
      </c>
      <c r="H871" s="6" t="s">
        <v>84</v>
      </c>
      <c r="I871" s="8" t="s">
        <v>251</v>
      </c>
      <c r="J871" s="9">
        <v>1</v>
      </c>
      <c r="K871" s="9">
        <v>209</v>
      </c>
      <c r="L871" s="9">
        <v>2023</v>
      </c>
      <c r="M871" s="8" t="s">
        <v>4840</v>
      </c>
      <c r="N871" s="8" t="s">
        <v>40</v>
      </c>
      <c r="O871" s="8" t="s">
        <v>41</v>
      </c>
      <c r="P871" s="6" t="s">
        <v>42</v>
      </c>
      <c r="Q871" s="8" t="s">
        <v>43</v>
      </c>
      <c r="R871" s="10" t="s">
        <v>4841</v>
      </c>
      <c r="S871" s="11"/>
      <c r="T871" s="6"/>
      <c r="U871" s="28" t="str">
        <f>HYPERLINK("https://media.infra-m.ru/2044/2044346/cover/2044346.jpg", "Обложка")</f>
        <v>Обложка</v>
      </c>
      <c r="V871" s="28" t="str">
        <f>HYPERLINK("https://znanium.com/catalog/product/982626", "Ознакомиться")</f>
        <v>Ознакомиться</v>
      </c>
      <c r="W871" s="8" t="s">
        <v>659</v>
      </c>
      <c r="X871" s="6"/>
      <c r="Y871" s="6"/>
      <c r="Z871" s="6"/>
      <c r="AA871" s="6" t="s">
        <v>415</v>
      </c>
    </row>
    <row r="872" spans="1:27" s="4" customFormat="1" ht="51.95" customHeight="1">
      <c r="A872" s="5">
        <v>0</v>
      </c>
      <c r="B872" s="6" t="s">
        <v>4842</v>
      </c>
      <c r="C872" s="13">
        <v>1634.9</v>
      </c>
      <c r="D872" s="8" t="s">
        <v>4843</v>
      </c>
      <c r="E872" s="8" t="s">
        <v>4844</v>
      </c>
      <c r="F872" s="8" t="s">
        <v>4845</v>
      </c>
      <c r="G872" s="6" t="s">
        <v>37</v>
      </c>
      <c r="H872" s="6" t="s">
        <v>192</v>
      </c>
      <c r="I872" s="8" t="s">
        <v>93</v>
      </c>
      <c r="J872" s="9">
        <v>1</v>
      </c>
      <c r="K872" s="9">
        <v>364</v>
      </c>
      <c r="L872" s="9">
        <v>2023</v>
      </c>
      <c r="M872" s="8" t="s">
        <v>4846</v>
      </c>
      <c r="N872" s="8" t="s">
        <v>40</v>
      </c>
      <c r="O872" s="8" t="s">
        <v>41</v>
      </c>
      <c r="P872" s="6" t="s">
        <v>95</v>
      </c>
      <c r="Q872" s="8" t="s">
        <v>96</v>
      </c>
      <c r="R872" s="10" t="s">
        <v>4847</v>
      </c>
      <c r="S872" s="11" t="s">
        <v>4848</v>
      </c>
      <c r="T872" s="6"/>
      <c r="U872" s="28" t="str">
        <f>HYPERLINK("https://media.infra-m.ru/1898/1898372/cover/1898372.jpg", "Обложка")</f>
        <v>Обложка</v>
      </c>
      <c r="V872" s="28" t="str">
        <f>HYPERLINK("https://znanium.com/catalog/product/1865357", "Ознакомиться")</f>
        <v>Ознакомиться</v>
      </c>
      <c r="W872" s="8" t="s">
        <v>414</v>
      </c>
      <c r="X872" s="6"/>
      <c r="Y872" s="6" t="s">
        <v>30</v>
      </c>
      <c r="Z872" s="6"/>
      <c r="AA872" s="6" t="s">
        <v>739</v>
      </c>
    </row>
    <row r="873" spans="1:27" s="4" customFormat="1" ht="42" customHeight="1">
      <c r="A873" s="5">
        <v>0</v>
      </c>
      <c r="B873" s="6" t="s">
        <v>4849</v>
      </c>
      <c r="C873" s="7">
        <v>669.9</v>
      </c>
      <c r="D873" s="8" t="s">
        <v>4850</v>
      </c>
      <c r="E873" s="8" t="s">
        <v>4851</v>
      </c>
      <c r="F873" s="8" t="s">
        <v>882</v>
      </c>
      <c r="G873" s="6" t="s">
        <v>58</v>
      </c>
      <c r="H873" s="6" t="s">
        <v>52</v>
      </c>
      <c r="I873" s="8" t="s">
        <v>2171</v>
      </c>
      <c r="J873" s="9">
        <v>1</v>
      </c>
      <c r="K873" s="9">
        <v>177</v>
      </c>
      <c r="L873" s="9">
        <v>2021</v>
      </c>
      <c r="M873" s="8" t="s">
        <v>4852</v>
      </c>
      <c r="N873" s="8" t="s">
        <v>40</v>
      </c>
      <c r="O873" s="8" t="s">
        <v>41</v>
      </c>
      <c r="P873" s="6" t="s">
        <v>95</v>
      </c>
      <c r="Q873" s="8" t="s">
        <v>96</v>
      </c>
      <c r="R873" s="10" t="s">
        <v>4792</v>
      </c>
      <c r="S873" s="11"/>
      <c r="T873" s="6"/>
      <c r="U873" s="28" t="str">
        <f>HYPERLINK("https://media.infra-m.ru/1461/1461283/cover/1461283.jpg", "Обложка")</f>
        <v>Обложка</v>
      </c>
      <c r="V873" s="28" t="str">
        <f>HYPERLINK("https://znanium.com/catalog/product/1461283", "Ознакомиться")</f>
        <v>Ознакомиться</v>
      </c>
      <c r="W873" s="8" t="s">
        <v>884</v>
      </c>
      <c r="X873" s="6"/>
      <c r="Y873" s="6"/>
      <c r="Z873" s="6" t="s">
        <v>136</v>
      </c>
      <c r="AA873" s="6" t="s">
        <v>62</v>
      </c>
    </row>
    <row r="874" spans="1:27" s="4" customFormat="1" ht="42" customHeight="1">
      <c r="A874" s="5">
        <v>0</v>
      </c>
      <c r="B874" s="6" t="s">
        <v>4853</v>
      </c>
      <c r="C874" s="13">
        <v>1400</v>
      </c>
      <c r="D874" s="8" t="s">
        <v>4854</v>
      </c>
      <c r="E874" s="8" t="s">
        <v>4851</v>
      </c>
      <c r="F874" s="8" t="s">
        <v>882</v>
      </c>
      <c r="G874" s="6" t="s">
        <v>37</v>
      </c>
      <c r="H874" s="6" t="s">
        <v>52</v>
      </c>
      <c r="I874" s="8" t="s">
        <v>120</v>
      </c>
      <c r="J874" s="9">
        <v>1</v>
      </c>
      <c r="K874" s="9">
        <v>311</v>
      </c>
      <c r="L874" s="9">
        <v>2023</v>
      </c>
      <c r="M874" s="8" t="s">
        <v>4855</v>
      </c>
      <c r="N874" s="8" t="s">
        <v>40</v>
      </c>
      <c r="O874" s="8" t="s">
        <v>41</v>
      </c>
      <c r="P874" s="6" t="s">
        <v>95</v>
      </c>
      <c r="Q874" s="8" t="s">
        <v>76</v>
      </c>
      <c r="R874" s="10" t="s">
        <v>4792</v>
      </c>
      <c r="S874" s="11"/>
      <c r="T874" s="6"/>
      <c r="U874" s="28" t="str">
        <f>HYPERLINK("https://media.infra-m.ru/1916/1916398/cover/1916398.jpg", "Обложка")</f>
        <v>Обложка</v>
      </c>
      <c r="V874" s="28" t="str">
        <f>HYPERLINK("https://znanium.com/catalog/product/1916398", "Ознакомиться")</f>
        <v>Ознакомиться</v>
      </c>
      <c r="W874" s="8" t="s">
        <v>884</v>
      </c>
      <c r="X874" s="6"/>
      <c r="Y874" s="6"/>
      <c r="Z874" s="6"/>
      <c r="AA874" s="6" t="s">
        <v>62</v>
      </c>
    </row>
    <row r="875" spans="1:27" s="4" customFormat="1" ht="42" customHeight="1">
      <c r="A875" s="5">
        <v>0</v>
      </c>
      <c r="B875" s="6" t="s">
        <v>4856</v>
      </c>
      <c r="C875" s="7">
        <v>594</v>
      </c>
      <c r="D875" s="8" t="s">
        <v>4857</v>
      </c>
      <c r="E875" s="8" t="s">
        <v>4858</v>
      </c>
      <c r="F875" s="8" t="s">
        <v>4859</v>
      </c>
      <c r="G875" s="6" t="s">
        <v>51</v>
      </c>
      <c r="H875" s="6" t="s">
        <v>272</v>
      </c>
      <c r="I875" s="8" t="s">
        <v>2171</v>
      </c>
      <c r="J875" s="9">
        <v>1</v>
      </c>
      <c r="K875" s="9">
        <v>128</v>
      </c>
      <c r="L875" s="9">
        <v>2024</v>
      </c>
      <c r="M875" s="8" t="s">
        <v>4860</v>
      </c>
      <c r="N875" s="8" t="s">
        <v>40</v>
      </c>
      <c r="O875" s="8" t="s">
        <v>41</v>
      </c>
      <c r="P875" s="6" t="s">
        <v>4861</v>
      </c>
      <c r="Q875" s="8" t="s">
        <v>96</v>
      </c>
      <c r="R875" s="10" t="s">
        <v>4862</v>
      </c>
      <c r="S875" s="11"/>
      <c r="T875" s="6"/>
      <c r="U875" s="28" t="str">
        <f>HYPERLINK("https://media.infra-m.ru/2056/2056804/cover/2056804.jpg", "Обложка")</f>
        <v>Обложка</v>
      </c>
      <c r="V875" s="28" t="str">
        <f>HYPERLINK("https://znanium.com/catalog/product/1834716", "Ознакомиться")</f>
        <v>Ознакомиться</v>
      </c>
      <c r="W875" s="8" t="s">
        <v>4863</v>
      </c>
      <c r="X875" s="6"/>
      <c r="Y875" s="6" t="s">
        <v>30</v>
      </c>
      <c r="Z875" s="6"/>
      <c r="AA875" s="6" t="s">
        <v>820</v>
      </c>
    </row>
    <row r="876" spans="1:27" s="4" customFormat="1" ht="44.1" customHeight="1">
      <c r="A876" s="5">
        <v>0</v>
      </c>
      <c r="B876" s="6" t="s">
        <v>4864</v>
      </c>
      <c r="C876" s="7">
        <v>454.9</v>
      </c>
      <c r="D876" s="8" t="s">
        <v>4865</v>
      </c>
      <c r="E876" s="8" t="s">
        <v>4844</v>
      </c>
      <c r="F876" s="8" t="s">
        <v>4866</v>
      </c>
      <c r="G876" s="6" t="s">
        <v>51</v>
      </c>
      <c r="H876" s="6" t="s">
        <v>52</v>
      </c>
      <c r="I876" s="8" t="s">
        <v>2171</v>
      </c>
      <c r="J876" s="9">
        <v>1</v>
      </c>
      <c r="K876" s="9">
        <v>203</v>
      </c>
      <c r="L876" s="9">
        <v>2020</v>
      </c>
      <c r="M876" s="8" t="s">
        <v>4867</v>
      </c>
      <c r="N876" s="8" t="s">
        <v>40</v>
      </c>
      <c r="O876" s="8" t="s">
        <v>41</v>
      </c>
      <c r="P876" s="6" t="s">
        <v>75</v>
      </c>
      <c r="Q876" s="8" t="s">
        <v>96</v>
      </c>
      <c r="R876" s="10" t="s">
        <v>4868</v>
      </c>
      <c r="S876" s="11"/>
      <c r="T876" s="6"/>
      <c r="U876" s="28" t="str">
        <f>HYPERLINK("https://media.infra-m.ru/1015/1015080/cover/1015080.jpg", "Обложка")</f>
        <v>Обложка</v>
      </c>
      <c r="V876" s="28" t="str">
        <f>HYPERLINK("https://znanium.com/catalog/product/1015080", "Ознакомиться")</f>
        <v>Ознакомиться</v>
      </c>
      <c r="W876" s="8" t="s">
        <v>4806</v>
      </c>
      <c r="X876" s="6"/>
      <c r="Y876" s="6" t="s">
        <v>30</v>
      </c>
      <c r="Z876" s="6"/>
      <c r="AA876" s="6" t="s">
        <v>215</v>
      </c>
    </row>
    <row r="877" spans="1:27" s="4" customFormat="1" ht="51.95" customHeight="1">
      <c r="A877" s="5">
        <v>0</v>
      </c>
      <c r="B877" s="6" t="s">
        <v>4869</v>
      </c>
      <c r="C877" s="13">
        <v>1130</v>
      </c>
      <c r="D877" s="8" t="s">
        <v>4870</v>
      </c>
      <c r="E877" s="8" t="s">
        <v>4851</v>
      </c>
      <c r="F877" s="8" t="s">
        <v>4871</v>
      </c>
      <c r="G877" s="6" t="s">
        <v>37</v>
      </c>
      <c r="H877" s="6" t="s">
        <v>192</v>
      </c>
      <c r="I877" s="8" t="s">
        <v>93</v>
      </c>
      <c r="J877" s="9">
        <v>1</v>
      </c>
      <c r="K877" s="9">
        <v>333</v>
      </c>
      <c r="L877" s="9">
        <v>2019</v>
      </c>
      <c r="M877" s="8" t="s">
        <v>4872</v>
      </c>
      <c r="N877" s="8" t="s">
        <v>40</v>
      </c>
      <c r="O877" s="8" t="s">
        <v>41</v>
      </c>
      <c r="P877" s="6" t="s">
        <v>95</v>
      </c>
      <c r="Q877" s="8" t="s">
        <v>96</v>
      </c>
      <c r="R877" s="10" t="s">
        <v>4847</v>
      </c>
      <c r="S877" s="11" t="s">
        <v>4873</v>
      </c>
      <c r="T877" s="6"/>
      <c r="U877" s="28" t="str">
        <f>HYPERLINK("https://media.infra-m.ru/1003/1003313/cover/1003313.jpg", "Обложка")</f>
        <v>Обложка</v>
      </c>
      <c r="V877" s="28" t="str">
        <f>HYPERLINK("https://znanium.com/catalog/product/1865357", "Ознакомиться")</f>
        <v>Ознакомиться</v>
      </c>
      <c r="W877" s="8" t="s">
        <v>414</v>
      </c>
      <c r="X877" s="6"/>
      <c r="Y877" s="6" t="s">
        <v>30</v>
      </c>
      <c r="Z877" s="6"/>
      <c r="AA877" s="6" t="s">
        <v>719</v>
      </c>
    </row>
    <row r="878" spans="1:27" s="4" customFormat="1" ht="51.95" customHeight="1">
      <c r="A878" s="5">
        <v>0</v>
      </c>
      <c r="B878" s="6" t="s">
        <v>4874</v>
      </c>
      <c r="C878" s="13">
        <v>1094</v>
      </c>
      <c r="D878" s="8" t="s">
        <v>4875</v>
      </c>
      <c r="E878" s="8" t="s">
        <v>4851</v>
      </c>
      <c r="F878" s="8" t="s">
        <v>4876</v>
      </c>
      <c r="G878" s="6" t="s">
        <v>37</v>
      </c>
      <c r="H878" s="6" t="s">
        <v>192</v>
      </c>
      <c r="I878" s="8" t="s">
        <v>93</v>
      </c>
      <c r="J878" s="9">
        <v>1</v>
      </c>
      <c r="K878" s="9">
        <v>239</v>
      </c>
      <c r="L878" s="9">
        <v>2024</v>
      </c>
      <c r="M878" s="8" t="s">
        <v>4877</v>
      </c>
      <c r="N878" s="8" t="s">
        <v>40</v>
      </c>
      <c r="O878" s="8" t="s">
        <v>41</v>
      </c>
      <c r="P878" s="6" t="s">
        <v>95</v>
      </c>
      <c r="Q878" s="8" t="s">
        <v>96</v>
      </c>
      <c r="R878" s="10" t="s">
        <v>4878</v>
      </c>
      <c r="S878" s="11" t="s">
        <v>4879</v>
      </c>
      <c r="T878" s="6"/>
      <c r="U878" s="28" t="str">
        <f>HYPERLINK("https://media.infra-m.ru/2122/2122499/cover/2122499.jpg", "Обложка")</f>
        <v>Обложка</v>
      </c>
      <c r="V878" s="28" t="str">
        <f>HYPERLINK("https://znanium.com/catalog/product/1225693", "Ознакомиться")</f>
        <v>Ознакомиться</v>
      </c>
      <c r="W878" s="8" t="s">
        <v>4320</v>
      </c>
      <c r="X878" s="6"/>
      <c r="Y878" s="6" t="s">
        <v>30</v>
      </c>
      <c r="Z878" s="6"/>
      <c r="AA878" s="6" t="s">
        <v>415</v>
      </c>
    </row>
    <row r="879" spans="1:27" s="4" customFormat="1" ht="51.95" customHeight="1">
      <c r="A879" s="5">
        <v>0</v>
      </c>
      <c r="B879" s="6" t="s">
        <v>4880</v>
      </c>
      <c r="C879" s="13">
        <v>1290</v>
      </c>
      <c r="D879" s="8" t="s">
        <v>4881</v>
      </c>
      <c r="E879" s="8" t="s">
        <v>4882</v>
      </c>
      <c r="F879" s="8" t="s">
        <v>2157</v>
      </c>
      <c r="G879" s="6" t="s">
        <v>37</v>
      </c>
      <c r="H879" s="6" t="s">
        <v>84</v>
      </c>
      <c r="I879" s="8" t="s">
        <v>185</v>
      </c>
      <c r="J879" s="9">
        <v>1</v>
      </c>
      <c r="K879" s="9">
        <v>289</v>
      </c>
      <c r="L879" s="9">
        <v>2023</v>
      </c>
      <c r="M879" s="8" t="s">
        <v>4883</v>
      </c>
      <c r="N879" s="8" t="s">
        <v>40</v>
      </c>
      <c r="O879" s="8" t="s">
        <v>41</v>
      </c>
      <c r="P879" s="6" t="s">
        <v>95</v>
      </c>
      <c r="Q879" s="8" t="s">
        <v>76</v>
      </c>
      <c r="R879" s="10" t="s">
        <v>4884</v>
      </c>
      <c r="S879" s="11" t="s">
        <v>4885</v>
      </c>
      <c r="T879" s="6" t="s">
        <v>368</v>
      </c>
      <c r="U879" s="28" t="str">
        <f>HYPERLINK("https://media.infra-m.ru/1861/1861158/cover/1861158.jpg", "Обложка")</f>
        <v>Обложка</v>
      </c>
      <c r="V879" s="28" t="str">
        <f>HYPERLINK("https://znanium.com/catalog/product/1861158", "Ознакомиться")</f>
        <v>Ознакомиться</v>
      </c>
      <c r="W879" s="8" t="s">
        <v>195</v>
      </c>
      <c r="X879" s="6"/>
      <c r="Y879" s="6"/>
      <c r="Z879" s="6"/>
      <c r="AA879" s="6" t="s">
        <v>88</v>
      </c>
    </row>
    <row r="880" spans="1:27" s="4" customFormat="1" ht="51.95" customHeight="1">
      <c r="A880" s="5">
        <v>0</v>
      </c>
      <c r="B880" s="6" t="s">
        <v>4886</v>
      </c>
      <c r="C880" s="13">
        <v>1220</v>
      </c>
      <c r="D880" s="8" t="s">
        <v>4887</v>
      </c>
      <c r="E880" s="8" t="s">
        <v>4882</v>
      </c>
      <c r="F880" s="8" t="s">
        <v>2157</v>
      </c>
      <c r="G880" s="6" t="s">
        <v>37</v>
      </c>
      <c r="H880" s="6" t="s">
        <v>84</v>
      </c>
      <c r="I880" s="8" t="s">
        <v>93</v>
      </c>
      <c r="J880" s="9">
        <v>1</v>
      </c>
      <c r="K880" s="9">
        <v>289</v>
      </c>
      <c r="L880" s="9">
        <v>2022</v>
      </c>
      <c r="M880" s="8" t="s">
        <v>4888</v>
      </c>
      <c r="N880" s="8" t="s">
        <v>40</v>
      </c>
      <c r="O880" s="8" t="s">
        <v>41</v>
      </c>
      <c r="P880" s="6" t="s">
        <v>95</v>
      </c>
      <c r="Q880" s="8" t="s">
        <v>96</v>
      </c>
      <c r="R880" s="10" t="s">
        <v>4889</v>
      </c>
      <c r="S880" s="11" t="s">
        <v>4890</v>
      </c>
      <c r="T880" s="6" t="s">
        <v>368</v>
      </c>
      <c r="U880" s="28" t="str">
        <f>HYPERLINK("https://media.infra-m.ru/1872/1872294/cover/1872294.jpg", "Обложка")</f>
        <v>Обложка</v>
      </c>
      <c r="V880" s="12"/>
      <c r="W880" s="8" t="s">
        <v>195</v>
      </c>
      <c r="X880" s="6"/>
      <c r="Y880" s="6"/>
      <c r="Z880" s="6" t="s">
        <v>136</v>
      </c>
      <c r="AA880" s="6" t="s">
        <v>343</v>
      </c>
    </row>
    <row r="881" spans="1:27" s="4" customFormat="1" ht="51.95" customHeight="1">
      <c r="A881" s="5">
        <v>0</v>
      </c>
      <c r="B881" s="6" t="s">
        <v>4891</v>
      </c>
      <c r="C881" s="13">
        <v>1090</v>
      </c>
      <c r="D881" s="8" t="s">
        <v>4892</v>
      </c>
      <c r="E881" s="8" t="s">
        <v>4893</v>
      </c>
      <c r="F881" s="8" t="s">
        <v>4894</v>
      </c>
      <c r="G881" s="6" t="s">
        <v>37</v>
      </c>
      <c r="H881" s="6" t="s">
        <v>84</v>
      </c>
      <c r="I881" s="8" t="s">
        <v>251</v>
      </c>
      <c r="J881" s="9">
        <v>1</v>
      </c>
      <c r="K881" s="9">
        <v>280</v>
      </c>
      <c r="L881" s="9">
        <v>2022</v>
      </c>
      <c r="M881" s="8" t="s">
        <v>4895</v>
      </c>
      <c r="N881" s="8" t="s">
        <v>40</v>
      </c>
      <c r="O881" s="8" t="s">
        <v>41</v>
      </c>
      <c r="P881" s="6" t="s">
        <v>42</v>
      </c>
      <c r="Q881" s="8" t="s">
        <v>43</v>
      </c>
      <c r="R881" s="10" t="s">
        <v>4896</v>
      </c>
      <c r="S881" s="11"/>
      <c r="T881" s="6"/>
      <c r="U881" s="28" t="str">
        <f>HYPERLINK("https://media.infra-m.ru/1860/1860853/cover/1860853.jpg", "Обложка")</f>
        <v>Обложка</v>
      </c>
      <c r="V881" s="28" t="str">
        <f>HYPERLINK("https://znanium.com/catalog/product/1860853", "Ознакомиться")</f>
        <v>Ознакомиться</v>
      </c>
      <c r="W881" s="8" t="s">
        <v>389</v>
      </c>
      <c r="X881" s="6"/>
      <c r="Y881" s="6"/>
      <c r="Z881" s="6"/>
      <c r="AA881" s="6" t="s">
        <v>79</v>
      </c>
    </row>
    <row r="882" spans="1:27" s="4" customFormat="1" ht="42" customHeight="1">
      <c r="A882" s="5">
        <v>0</v>
      </c>
      <c r="B882" s="6" t="s">
        <v>4897</v>
      </c>
      <c r="C882" s="7">
        <v>920</v>
      </c>
      <c r="D882" s="8" t="s">
        <v>4898</v>
      </c>
      <c r="E882" s="8" t="s">
        <v>4899</v>
      </c>
      <c r="F882" s="8" t="s">
        <v>4900</v>
      </c>
      <c r="G882" s="6" t="s">
        <v>37</v>
      </c>
      <c r="H882" s="6" t="s">
        <v>84</v>
      </c>
      <c r="I882" s="8" t="s">
        <v>85</v>
      </c>
      <c r="J882" s="9">
        <v>1</v>
      </c>
      <c r="K882" s="9">
        <v>240</v>
      </c>
      <c r="L882" s="9">
        <v>2021</v>
      </c>
      <c r="M882" s="8" t="s">
        <v>4901</v>
      </c>
      <c r="N882" s="8" t="s">
        <v>40</v>
      </c>
      <c r="O882" s="8" t="s">
        <v>41</v>
      </c>
      <c r="P882" s="6" t="s">
        <v>42</v>
      </c>
      <c r="Q882" s="8" t="s">
        <v>43</v>
      </c>
      <c r="R882" s="10" t="s">
        <v>304</v>
      </c>
      <c r="S882" s="11"/>
      <c r="T882" s="6"/>
      <c r="U882" s="28" t="str">
        <f>HYPERLINK("https://media.infra-m.ru/1362/1362124/cover/1362124.jpg", "Обложка")</f>
        <v>Обложка</v>
      </c>
      <c r="V882" s="28" t="str">
        <f>HYPERLINK("https://znanium.com/catalog/product/1362124", "Ознакомиться")</f>
        <v>Ознакомиться</v>
      </c>
      <c r="W882" s="8" t="s">
        <v>45</v>
      </c>
      <c r="X882" s="6"/>
      <c r="Y882" s="6"/>
      <c r="Z882" s="6"/>
      <c r="AA882" s="6" t="s">
        <v>79</v>
      </c>
    </row>
    <row r="883" spans="1:27" s="4" customFormat="1" ht="42" customHeight="1">
      <c r="A883" s="5">
        <v>0</v>
      </c>
      <c r="B883" s="6" t="s">
        <v>4902</v>
      </c>
      <c r="C883" s="7">
        <v>950</v>
      </c>
      <c r="D883" s="8" t="s">
        <v>4903</v>
      </c>
      <c r="E883" s="8" t="s">
        <v>4904</v>
      </c>
      <c r="F883" s="8" t="s">
        <v>3740</v>
      </c>
      <c r="G883" s="6" t="s">
        <v>58</v>
      </c>
      <c r="H883" s="6" t="s">
        <v>84</v>
      </c>
      <c r="I883" s="8" t="s">
        <v>85</v>
      </c>
      <c r="J883" s="9">
        <v>1</v>
      </c>
      <c r="K883" s="9">
        <v>328</v>
      </c>
      <c r="L883" s="9">
        <v>2018</v>
      </c>
      <c r="M883" s="8" t="s">
        <v>4905</v>
      </c>
      <c r="N883" s="8" t="s">
        <v>40</v>
      </c>
      <c r="O883" s="8" t="s">
        <v>41</v>
      </c>
      <c r="P883" s="6" t="s">
        <v>811</v>
      </c>
      <c r="Q883" s="8" t="s">
        <v>43</v>
      </c>
      <c r="R883" s="10" t="s">
        <v>4906</v>
      </c>
      <c r="S883" s="11"/>
      <c r="T883" s="6"/>
      <c r="U883" s="28" t="str">
        <f>HYPERLINK("https://media.infra-m.ru/0930/0930912/cover/930912.jpg", "Обложка")</f>
        <v>Обложка</v>
      </c>
      <c r="V883" s="28" t="str">
        <f>HYPERLINK("https://znanium.com/catalog/product/930912", "Ознакомиться")</f>
        <v>Ознакомиться</v>
      </c>
      <c r="W883" s="8" t="s">
        <v>45</v>
      </c>
      <c r="X883" s="6"/>
      <c r="Y883" s="6"/>
      <c r="Z883" s="6"/>
      <c r="AA883" s="6" t="s">
        <v>88</v>
      </c>
    </row>
    <row r="884" spans="1:27" s="4" customFormat="1" ht="42" customHeight="1">
      <c r="A884" s="5">
        <v>0</v>
      </c>
      <c r="B884" s="6" t="s">
        <v>4907</v>
      </c>
      <c r="C884" s="7">
        <v>974.9</v>
      </c>
      <c r="D884" s="8" t="s">
        <v>4908</v>
      </c>
      <c r="E884" s="8" t="s">
        <v>4909</v>
      </c>
      <c r="F884" s="8" t="s">
        <v>4910</v>
      </c>
      <c r="G884" s="6" t="s">
        <v>58</v>
      </c>
      <c r="H884" s="6" t="s">
        <v>38</v>
      </c>
      <c r="I884" s="8"/>
      <c r="J884" s="9">
        <v>1</v>
      </c>
      <c r="K884" s="9">
        <v>288</v>
      </c>
      <c r="L884" s="9">
        <v>2019</v>
      </c>
      <c r="M884" s="8" t="s">
        <v>4911</v>
      </c>
      <c r="N884" s="8" t="s">
        <v>40</v>
      </c>
      <c r="O884" s="8" t="s">
        <v>41</v>
      </c>
      <c r="P884" s="6" t="s">
        <v>42</v>
      </c>
      <c r="Q884" s="8" t="s">
        <v>43</v>
      </c>
      <c r="R884" s="10" t="s">
        <v>304</v>
      </c>
      <c r="S884" s="11"/>
      <c r="T884" s="6"/>
      <c r="U884" s="28" t="str">
        <f>HYPERLINK("https://media.infra-m.ru/1011/1011094/cover/1011094.jpg", "Обложка")</f>
        <v>Обложка</v>
      </c>
      <c r="V884" s="28" t="str">
        <f>HYPERLINK("https://znanium.com/catalog/product/1011094", "Ознакомиться")</f>
        <v>Ознакомиться</v>
      </c>
      <c r="W884" s="8" t="s">
        <v>107</v>
      </c>
      <c r="X884" s="6"/>
      <c r="Y884" s="6"/>
      <c r="Z884" s="6"/>
      <c r="AA884" s="6" t="s">
        <v>148</v>
      </c>
    </row>
    <row r="885" spans="1:27" s="4" customFormat="1" ht="51.95" customHeight="1">
      <c r="A885" s="5">
        <v>0</v>
      </c>
      <c r="B885" s="6" t="s">
        <v>4912</v>
      </c>
      <c r="C885" s="7">
        <v>690</v>
      </c>
      <c r="D885" s="8" t="s">
        <v>4913</v>
      </c>
      <c r="E885" s="8" t="s">
        <v>4914</v>
      </c>
      <c r="F885" s="8" t="s">
        <v>4915</v>
      </c>
      <c r="G885" s="6" t="s">
        <v>58</v>
      </c>
      <c r="H885" s="6" t="s">
        <v>38</v>
      </c>
      <c r="I885" s="8"/>
      <c r="J885" s="9">
        <v>1</v>
      </c>
      <c r="K885" s="9">
        <v>144</v>
      </c>
      <c r="L885" s="9">
        <v>2024</v>
      </c>
      <c r="M885" s="8" t="s">
        <v>4916</v>
      </c>
      <c r="N885" s="8" t="s">
        <v>40</v>
      </c>
      <c r="O885" s="8" t="s">
        <v>41</v>
      </c>
      <c r="P885" s="6" t="s">
        <v>75</v>
      </c>
      <c r="Q885" s="8" t="s">
        <v>157</v>
      </c>
      <c r="R885" s="10" t="s">
        <v>4917</v>
      </c>
      <c r="S885" s="11"/>
      <c r="T885" s="6"/>
      <c r="U885" s="28" t="str">
        <f>HYPERLINK("https://media.infra-m.ru/2082/2082404/cover/2082404.jpg", "Обложка")</f>
        <v>Обложка</v>
      </c>
      <c r="V885" s="28" t="str">
        <f>HYPERLINK("https://znanium.com/catalog/product/2082404", "Ознакомиться")</f>
        <v>Ознакомиться</v>
      </c>
      <c r="W885" s="8" t="s">
        <v>114</v>
      </c>
      <c r="X885" s="6" t="s">
        <v>99</v>
      </c>
      <c r="Y885" s="6"/>
      <c r="Z885" s="6"/>
      <c r="AA885" s="6" t="s">
        <v>382</v>
      </c>
    </row>
    <row r="886" spans="1:27" s="4" customFormat="1" ht="51.95" customHeight="1">
      <c r="A886" s="5">
        <v>0</v>
      </c>
      <c r="B886" s="6" t="s">
        <v>4918</v>
      </c>
      <c r="C886" s="7">
        <v>884</v>
      </c>
      <c r="D886" s="8" t="s">
        <v>4919</v>
      </c>
      <c r="E886" s="8" t="s">
        <v>4920</v>
      </c>
      <c r="F886" s="8" t="s">
        <v>4921</v>
      </c>
      <c r="G886" s="6" t="s">
        <v>58</v>
      </c>
      <c r="H886" s="6" t="s">
        <v>38</v>
      </c>
      <c r="I886" s="8"/>
      <c r="J886" s="9">
        <v>1</v>
      </c>
      <c r="K886" s="9">
        <v>192</v>
      </c>
      <c r="L886" s="9">
        <v>2024</v>
      </c>
      <c r="M886" s="8" t="s">
        <v>4922</v>
      </c>
      <c r="N886" s="8" t="s">
        <v>40</v>
      </c>
      <c r="O886" s="8" t="s">
        <v>41</v>
      </c>
      <c r="P886" s="6" t="s">
        <v>75</v>
      </c>
      <c r="Q886" s="8" t="s">
        <v>76</v>
      </c>
      <c r="R886" s="10" t="s">
        <v>4923</v>
      </c>
      <c r="S886" s="11"/>
      <c r="T886" s="6"/>
      <c r="U886" s="28" t="str">
        <f>HYPERLINK("https://media.infra-m.ru/2087/2087290/cover/2087290.jpg", "Обложка")</f>
        <v>Обложка</v>
      </c>
      <c r="V886" s="28" t="str">
        <f>HYPERLINK("https://znanium.com/catalog/product/1897302", "Ознакомиться")</f>
        <v>Ознакомиться</v>
      </c>
      <c r="W886" s="8" t="s">
        <v>3352</v>
      </c>
      <c r="X886" s="6"/>
      <c r="Y886" s="6"/>
      <c r="Z886" s="6"/>
      <c r="AA886" s="6" t="s">
        <v>209</v>
      </c>
    </row>
    <row r="887" spans="1:27" s="4" customFormat="1" ht="51.95" customHeight="1">
      <c r="A887" s="5">
        <v>0</v>
      </c>
      <c r="B887" s="6" t="s">
        <v>4924</v>
      </c>
      <c r="C887" s="7">
        <v>470</v>
      </c>
      <c r="D887" s="8" t="s">
        <v>4925</v>
      </c>
      <c r="E887" s="8" t="s">
        <v>4926</v>
      </c>
      <c r="F887" s="8" t="s">
        <v>4927</v>
      </c>
      <c r="G887" s="6" t="s">
        <v>51</v>
      </c>
      <c r="H887" s="6" t="s">
        <v>38</v>
      </c>
      <c r="I887" s="8"/>
      <c r="J887" s="9">
        <v>1</v>
      </c>
      <c r="K887" s="9">
        <v>96</v>
      </c>
      <c r="L887" s="9">
        <v>2022</v>
      </c>
      <c r="M887" s="8" t="s">
        <v>4928</v>
      </c>
      <c r="N887" s="8" t="s">
        <v>40</v>
      </c>
      <c r="O887" s="8" t="s">
        <v>41</v>
      </c>
      <c r="P887" s="6" t="s">
        <v>42</v>
      </c>
      <c r="Q887" s="8" t="s">
        <v>296</v>
      </c>
      <c r="R887" s="10" t="s">
        <v>4929</v>
      </c>
      <c r="S887" s="11"/>
      <c r="T887" s="6"/>
      <c r="U887" s="28" t="str">
        <f>HYPERLINK("https://media.infra-m.ru/1864/1864217/cover/1864217.jpg", "Обложка")</f>
        <v>Обложка</v>
      </c>
      <c r="V887" s="28" t="str">
        <f>HYPERLINK("https://znanium.com/catalog/product/1854737", "Ознакомиться")</f>
        <v>Ознакомиться</v>
      </c>
      <c r="W887" s="8" t="s">
        <v>114</v>
      </c>
      <c r="X887" s="6"/>
      <c r="Y887" s="6"/>
      <c r="Z887" s="6"/>
      <c r="AA887" s="6" t="s">
        <v>88</v>
      </c>
    </row>
    <row r="888" spans="1:27" s="4" customFormat="1" ht="51.95" customHeight="1">
      <c r="A888" s="5">
        <v>0</v>
      </c>
      <c r="B888" s="6" t="s">
        <v>4930</v>
      </c>
      <c r="C888" s="7">
        <v>570</v>
      </c>
      <c r="D888" s="8" t="s">
        <v>4931</v>
      </c>
      <c r="E888" s="8" t="s">
        <v>4932</v>
      </c>
      <c r="F888" s="8" t="s">
        <v>4933</v>
      </c>
      <c r="G888" s="6" t="s">
        <v>51</v>
      </c>
      <c r="H888" s="6" t="s">
        <v>84</v>
      </c>
      <c r="I888" s="8" t="s">
        <v>251</v>
      </c>
      <c r="J888" s="9">
        <v>1</v>
      </c>
      <c r="K888" s="9">
        <v>138</v>
      </c>
      <c r="L888" s="9">
        <v>2021</v>
      </c>
      <c r="M888" s="8" t="s">
        <v>4934</v>
      </c>
      <c r="N888" s="8" t="s">
        <v>40</v>
      </c>
      <c r="O888" s="8" t="s">
        <v>41</v>
      </c>
      <c r="P888" s="6" t="s">
        <v>42</v>
      </c>
      <c r="Q888" s="8" t="s">
        <v>43</v>
      </c>
      <c r="R888" s="10" t="s">
        <v>4935</v>
      </c>
      <c r="S888" s="11"/>
      <c r="T888" s="6"/>
      <c r="U888" s="28" t="str">
        <f>HYPERLINK("https://media.infra-m.ru/1290/1290966/cover/1290966.jpg", "Обложка")</f>
        <v>Обложка</v>
      </c>
      <c r="V888" s="28" t="str">
        <f>HYPERLINK("https://znanium.com/catalog/product/1290966", "Ознакомиться")</f>
        <v>Ознакомиться</v>
      </c>
      <c r="W888" s="8" t="s">
        <v>334</v>
      </c>
      <c r="X888" s="6"/>
      <c r="Y888" s="6"/>
      <c r="Z888" s="6"/>
      <c r="AA888" s="6" t="s">
        <v>79</v>
      </c>
    </row>
    <row r="889" spans="1:27" s="4" customFormat="1" ht="42" customHeight="1">
      <c r="A889" s="5">
        <v>0</v>
      </c>
      <c r="B889" s="6" t="s">
        <v>4936</v>
      </c>
      <c r="C889" s="13">
        <v>1230</v>
      </c>
      <c r="D889" s="8" t="s">
        <v>4937</v>
      </c>
      <c r="E889" s="8" t="s">
        <v>4938</v>
      </c>
      <c r="F889" s="8" t="s">
        <v>4939</v>
      </c>
      <c r="G889" s="6" t="s">
        <v>51</v>
      </c>
      <c r="H889" s="6" t="s">
        <v>84</v>
      </c>
      <c r="I889" s="8" t="s">
        <v>85</v>
      </c>
      <c r="J889" s="9">
        <v>1</v>
      </c>
      <c r="K889" s="9">
        <v>272</v>
      </c>
      <c r="L889" s="9">
        <v>2023</v>
      </c>
      <c r="M889" s="8" t="s">
        <v>4940</v>
      </c>
      <c r="N889" s="8" t="s">
        <v>40</v>
      </c>
      <c r="O889" s="8" t="s">
        <v>41</v>
      </c>
      <c r="P889" s="6" t="s">
        <v>42</v>
      </c>
      <c r="Q889" s="8" t="s">
        <v>43</v>
      </c>
      <c r="R889" s="10" t="s">
        <v>113</v>
      </c>
      <c r="S889" s="11"/>
      <c r="T889" s="6"/>
      <c r="U889" s="28" t="str">
        <f>HYPERLINK("https://media.infra-m.ru/2029/2029816/cover/2029816.jpg", "Обложка")</f>
        <v>Обложка</v>
      </c>
      <c r="V889" s="28" t="str">
        <f>HYPERLINK("https://znanium.com/catalog/product/2029816", "Ознакомиться")</f>
        <v>Ознакомиться</v>
      </c>
      <c r="W889" s="8" t="s">
        <v>1568</v>
      </c>
      <c r="X889" s="6"/>
      <c r="Y889" s="6"/>
      <c r="Z889" s="6"/>
      <c r="AA889" s="6" t="s">
        <v>88</v>
      </c>
    </row>
    <row r="890" spans="1:27" s="4" customFormat="1" ht="51.95" customHeight="1">
      <c r="A890" s="5">
        <v>0</v>
      </c>
      <c r="B890" s="6" t="s">
        <v>4941</v>
      </c>
      <c r="C890" s="13">
        <v>1159.9000000000001</v>
      </c>
      <c r="D890" s="8" t="s">
        <v>4942</v>
      </c>
      <c r="E890" s="8" t="s">
        <v>4943</v>
      </c>
      <c r="F890" s="8" t="s">
        <v>4944</v>
      </c>
      <c r="G890" s="6" t="s">
        <v>58</v>
      </c>
      <c r="H890" s="6" t="s">
        <v>38</v>
      </c>
      <c r="I890" s="8"/>
      <c r="J890" s="9">
        <v>1</v>
      </c>
      <c r="K890" s="9">
        <v>296</v>
      </c>
      <c r="L890" s="9">
        <v>2022</v>
      </c>
      <c r="M890" s="8" t="s">
        <v>4945</v>
      </c>
      <c r="N890" s="8" t="s">
        <v>40</v>
      </c>
      <c r="O890" s="8" t="s">
        <v>41</v>
      </c>
      <c r="P890" s="6" t="s">
        <v>811</v>
      </c>
      <c r="Q890" s="8" t="s">
        <v>43</v>
      </c>
      <c r="R890" s="10" t="s">
        <v>4946</v>
      </c>
      <c r="S890" s="11"/>
      <c r="T890" s="6"/>
      <c r="U890" s="28" t="str">
        <f>HYPERLINK("https://media.infra-m.ru/1842/1842506/cover/1842506.jpg", "Обложка")</f>
        <v>Обложка</v>
      </c>
      <c r="V890" s="28" t="str">
        <f>HYPERLINK("https://znanium.com/catalog/product/1842506", "Ознакомиться")</f>
        <v>Ознакомиться</v>
      </c>
      <c r="W890" s="8" t="s">
        <v>45</v>
      </c>
      <c r="X890" s="6"/>
      <c r="Y890" s="6"/>
      <c r="Z890" s="6"/>
      <c r="AA890" s="6" t="s">
        <v>343</v>
      </c>
    </row>
    <row r="891" spans="1:27" s="4" customFormat="1" ht="51.95" customHeight="1">
      <c r="A891" s="5">
        <v>0</v>
      </c>
      <c r="B891" s="6" t="s">
        <v>4947</v>
      </c>
      <c r="C891" s="7">
        <v>640</v>
      </c>
      <c r="D891" s="8" t="s">
        <v>4948</v>
      </c>
      <c r="E891" s="8" t="s">
        <v>4949</v>
      </c>
      <c r="F891" s="8" t="s">
        <v>4950</v>
      </c>
      <c r="G891" s="6" t="s">
        <v>51</v>
      </c>
      <c r="H891" s="6" t="s">
        <v>84</v>
      </c>
      <c r="I891" s="8" t="s">
        <v>251</v>
      </c>
      <c r="J891" s="9">
        <v>1</v>
      </c>
      <c r="K891" s="9">
        <v>128</v>
      </c>
      <c r="L891" s="9">
        <v>2023</v>
      </c>
      <c r="M891" s="8" t="s">
        <v>4951</v>
      </c>
      <c r="N891" s="8" t="s">
        <v>40</v>
      </c>
      <c r="O891" s="8" t="s">
        <v>41</v>
      </c>
      <c r="P891" s="6" t="s">
        <v>42</v>
      </c>
      <c r="Q891" s="8" t="s">
        <v>43</v>
      </c>
      <c r="R891" s="10" t="s">
        <v>4952</v>
      </c>
      <c r="S891" s="11"/>
      <c r="T891" s="6"/>
      <c r="U891" s="28" t="str">
        <f>HYPERLINK("https://media.infra-m.ru/1948/1948196/cover/1948196.jpg", "Обложка")</f>
        <v>Обложка</v>
      </c>
      <c r="V891" s="28" t="str">
        <f>HYPERLINK("https://znanium.com/catalog/product/1948196", "Ознакомиться")</f>
        <v>Ознакомиться</v>
      </c>
      <c r="W891" s="8" t="s">
        <v>4953</v>
      </c>
      <c r="X891" s="6" t="s">
        <v>645</v>
      </c>
      <c r="Y891" s="6"/>
      <c r="Z891" s="6"/>
      <c r="AA891" s="6" t="s">
        <v>408</v>
      </c>
    </row>
    <row r="892" spans="1:27" s="4" customFormat="1" ht="42" customHeight="1">
      <c r="A892" s="5">
        <v>0</v>
      </c>
      <c r="B892" s="6" t="s">
        <v>4954</v>
      </c>
      <c r="C892" s="7">
        <v>954.9</v>
      </c>
      <c r="D892" s="8" t="s">
        <v>4955</v>
      </c>
      <c r="E892" s="8" t="s">
        <v>4956</v>
      </c>
      <c r="F892" s="8" t="s">
        <v>4957</v>
      </c>
      <c r="G892" s="6" t="s">
        <v>51</v>
      </c>
      <c r="H892" s="6" t="s">
        <v>84</v>
      </c>
      <c r="I892" s="8" t="s">
        <v>251</v>
      </c>
      <c r="J892" s="9">
        <v>1</v>
      </c>
      <c r="K892" s="9">
        <v>212</v>
      </c>
      <c r="L892" s="9">
        <v>2023</v>
      </c>
      <c r="M892" s="8" t="s">
        <v>4958</v>
      </c>
      <c r="N892" s="8" t="s">
        <v>40</v>
      </c>
      <c r="O892" s="8" t="s">
        <v>41</v>
      </c>
      <c r="P892" s="6" t="s">
        <v>42</v>
      </c>
      <c r="Q892" s="8" t="s">
        <v>43</v>
      </c>
      <c r="R892" s="10" t="s">
        <v>304</v>
      </c>
      <c r="S892" s="11"/>
      <c r="T892" s="6"/>
      <c r="U892" s="28" t="str">
        <f>HYPERLINK("https://media.infra-m.ru/2045/2045941/cover/2045941.jpg", "Обложка")</f>
        <v>Обложка</v>
      </c>
      <c r="V892" s="28" t="str">
        <f>HYPERLINK("https://znanium.com/catalog/product/1247029", "Ознакомиться")</f>
        <v>Ознакомиться</v>
      </c>
      <c r="W892" s="8" t="s">
        <v>535</v>
      </c>
      <c r="X892" s="6"/>
      <c r="Y892" s="6"/>
      <c r="Z892" s="6"/>
      <c r="AA892" s="6" t="s">
        <v>115</v>
      </c>
    </row>
    <row r="893" spans="1:27" s="4" customFormat="1" ht="51.95" customHeight="1">
      <c r="A893" s="5">
        <v>0</v>
      </c>
      <c r="B893" s="6" t="s">
        <v>4959</v>
      </c>
      <c r="C893" s="7">
        <v>580</v>
      </c>
      <c r="D893" s="8" t="s">
        <v>4960</v>
      </c>
      <c r="E893" s="8" t="s">
        <v>4961</v>
      </c>
      <c r="F893" s="8" t="s">
        <v>4962</v>
      </c>
      <c r="G893" s="6" t="s">
        <v>51</v>
      </c>
      <c r="H893" s="6" t="s">
        <v>38</v>
      </c>
      <c r="I893" s="8"/>
      <c r="J893" s="9">
        <v>1</v>
      </c>
      <c r="K893" s="9">
        <v>128</v>
      </c>
      <c r="L893" s="9">
        <v>2020</v>
      </c>
      <c r="M893" s="8" t="s">
        <v>4963</v>
      </c>
      <c r="N893" s="8" t="s">
        <v>40</v>
      </c>
      <c r="O893" s="8" t="s">
        <v>41</v>
      </c>
      <c r="P893" s="6" t="s">
        <v>95</v>
      </c>
      <c r="Q893" s="8" t="s">
        <v>157</v>
      </c>
      <c r="R893" s="10" t="s">
        <v>4964</v>
      </c>
      <c r="S893" s="11"/>
      <c r="T893" s="6"/>
      <c r="U893" s="28" t="str">
        <f>HYPERLINK("https://media.infra-m.ru/1949/1949124/cover/1949124.jpg", "Обложка")</f>
        <v>Обложка</v>
      </c>
      <c r="V893" s="28" t="str">
        <f>HYPERLINK("https://znanium.com/catalog/product/960152", "Ознакомиться")</f>
        <v>Ознакомиться</v>
      </c>
      <c r="W893" s="8" t="s">
        <v>114</v>
      </c>
      <c r="X893" s="6"/>
      <c r="Y893" s="6"/>
      <c r="Z893" s="6"/>
      <c r="AA893" s="6" t="s">
        <v>46</v>
      </c>
    </row>
    <row r="894" spans="1:27" s="4" customFormat="1" ht="51.95" customHeight="1">
      <c r="A894" s="5">
        <v>0</v>
      </c>
      <c r="B894" s="6" t="s">
        <v>4965</v>
      </c>
      <c r="C894" s="7">
        <v>614.9</v>
      </c>
      <c r="D894" s="8" t="s">
        <v>4966</v>
      </c>
      <c r="E894" s="8" t="s">
        <v>4967</v>
      </c>
      <c r="F894" s="8" t="s">
        <v>4921</v>
      </c>
      <c r="G894" s="6" t="s">
        <v>58</v>
      </c>
      <c r="H894" s="6" t="s">
        <v>38</v>
      </c>
      <c r="I894" s="8"/>
      <c r="J894" s="9">
        <v>1</v>
      </c>
      <c r="K894" s="9">
        <v>192</v>
      </c>
      <c r="L894" s="9">
        <v>2018</v>
      </c>
      <c r="M894" s="8" t="s">
        <v>4968</v>
      </c>
      <c r="N894" s="8" t="s">
        <v>40</v>
      </c>
      <c r="O894" s="8" t="s">
        <v>41</v>
      </c>
      <c r="P894" s="6" t="s">
        <v>75</v>
      </c>
      <c r="Q894" s="8" t="s">
        <v>76</v>
      </c>
      <c r="R894" s="10" t="s">
        <v>4923</v>
      </c>
      <c r="S894" s="11"/>
      <c r="T894" s="6"/>
      <c r="U894" s="28" t="str">
        <f>HYPERLINK("https://media.infra-m.ru/0858/0858762/cover/858762.jpg", "Обложка")</f>
        <v>Обложка</v>
      </c>
      <c r="V894" s="28" t="str">
        <f>HYPERLINK("https://znanium.com/catalog/product/1897302", "Ознакомиться")</f>
        <v>Ознакомиться</v>
      </c>
      <c r="W894" s="8" t="s">
        <v>3352</v>
      </c>
      <c r="X894" s="6"/>
      <c r="Y894" s="6"/>
      <c r="Z894" s="6"/>
      <c r="AA894" s="6" t="s">
        <v>327</v>
      </c>
    </row>
    <row r="895" spans="1:27" s="4" customFormat="1" ht="42" customHeight="1">
      <c r="A895" s="5">
        <v>0</v>
      </c>
      <c r="B895" s="6" t="s">
        <v>4969</v>
      </c>
      <c r="C895" s="13">
        <v>1400</v>
      </c>
      <c r="D895" s="8" t="s">
        <v>4970</v>
      </c>
      <c r="E895" s="8" t="s">
        <v>4971</v>
      </c>
      <c r="F895" s="8" t="s">
        <v>4972</v>
      </c>
      <c r="G895" s="6" t="s">
        <v>37</v>
      </c>
      <c r="H895" s="6" t="s">
        <v>84</v>
      </c>
      <c r="I895" s="8" t="s">
        <v>85</v>
      </c>
      <c r="J895" s="9">
        <v>1</v>
      </c>
      <c r="K895" s="9">
        <v>368</v>
      </c>
      <c r="L895" s="9">
        <v>2022</v>
      </c>
      <c r="M895" s="8" t="s">
        <v>4973</v>
      </c>
      <c r="N895" s="8" t="s">
        <v>40</v>
      </c>
      <c r="O895" s="8" t="s">
        <v>41</v>
      </c>
      <c r="P895" s="6" t="s">
        <v>811</v>
      </c>
      <c r="Q895" s="8" t="s">
        <v>43</v>
      </c>
      <c r="R895" s="10" t="s">
        <v>113</v>
      </c>
      <c r="S895" s="11"/>
      <c r="T895" s="6"/>
      <c r="U895" s="28" t="str">
        <f>HYPERLINK("https://media.infra-m.ru/1859/1859834/cover/1859834.jpg", "Обложка")</f>
        <v>Обложка</v>
      </c>
      <c r="V895" s="28" t="str">
        <f>HYPERLINK("https://znanium.com/catalog/product/1859834", "Ознакомиться")</f>
        <v>Ознакомиться</v>
      </c>
      <c r="W895" s="8" t="s">
        <v>45</v>
      </c>
      <c r="X895" s="6"/>
      <c r="Y895" s="6"/>
      <c r="Z895" s="6"/>
      <c r="AA895" s="6" t="s">
        <v>148</v>
      </c>
    </row>
    <row r="896" spans="1:27" s="4" customFormat="1" ht="44.1" customHeight="1">
      <c r="A896" s="5">
        <v>0</v>
      </c>
      <c r="B896" s="6" t="s">
        <v>4974</v>
      </c>
      <c r="C896" s="13">
        <v>1370</v>
      </c>
      <c r="D896" s="8" t="s">
        <v>4975</v>
      </c>
      <c r="E896" s="8" t="s">
        <v>4976</v>
      </c>
      <c r="F896" s="8" t="s">
        <v>4977</v>
      </c>
      <c r="G896" s="6" t="s">
        <v>37</v>
      </c>
      <c r="H896" s="6" t="s">
        <v>84</v>
      </c>
      <c r="I896" s="8" t="s">
        <v>85</v>
      </c>
      <c r="J896" s="9">
        <v>1</v>
      </c>
      <c r="K896" s="9">
        <v>304</v>
      </c>
      <c r="L896" s="9">
        <v>2023</v>
      </c>
      <c r="M896" s="8" t="s">
        <v>4978</v>
      </c>
      <c r="N896" s="8" t="s">
        <v>40</v>
      </c>
      <c r="O896" s="8" t="s">
        <v>41</v>
      </c>
      <c r="P896" s="6" t="s">
        <v>42</v>
      </c>
      <c r="Q896" s="8" t="s">
        <v>43</v>
      </c>
      <c r="R896" s="10" t="s">
        <v>1887</v>
      </c>
      <c r="S896" s="11"/>
      <c r="T896" s="6"/>
      <c r="U896" s="28" t="str">
        <f>HYPERLINK("https://media.infra-m.ru/1964/1964967/cover/1964967.jpg", "Обложка")</f>
        <v>Обложка</v>
      </c>
      <c r="V896" s="28" t="str">
        <f>HYPERLINK("https://znanium.com/catalog/product/1964967", "Ознакомиться")</f>
        <v>Ознакомиться</v>
      </c>
      <c r="W896" s="8" t="s">
        <v>4979</v>
      </c>
      <c r="X896" s="6"/>
      <c r="Y896" s="6"/>
      <c r="Z896" s="6"/>
      <c r="AA896" s="6" t="s">
        <v>79</v>
      </c>
    </row>
    <row r="897" spans="1:27" s="4" customFormat="1" ht="51.95" customHeight="1">
      <c r="A897" s="5">
        <v>0</v>
      </c>
      <c r="B897" s="6" t="s">
        <v>4980</v>
      </c>
      <c r="C897" s="7">
        <v>434.9</v>
      </c>
      <c r="D897" s="8" t="s">
        <v>4981</v>
      </c>
      <c r="E897" s="8" t="s">
        <v>4982</v>
      </c>
      <c r="F897" s="8" t="s">
        <v>446</v>
      </c>
      <c r="G897" s="6" t="s">
        <v>51</v>
      </c>
      <c r="H897" s="6" t="s">
        <v>38</v>
      </c>
      <c r="I897" s="8"/>
      <c r="J897" s="9">
        <v>1</v>
      </c>
      <c r="K897" s="9">
        <v>128</v>
      </c>
      <c r="L897" s="9">
        <v>2020</v>
      </c>
      <c r="M897" s="8" t="s">
        <v>4983</v>
      </c>
      <c r="N897" s="8" t="s">
        <v>40</v>
      </c>
      <c r="O897" s="8" t="s">
        <v>41</v>
      </c>
      <c r="P897" s="6" t="s">
        <v>75</v>
      </c>
      <c r="Q897" s="8" t="s">
        <v>157</v>
      </c>
      <c r="R897" s="10" t="s">
        <v>4917</v>
      </c>
      <c r="S897" s="11"/>
      <c r="T897" s="6"/>
      <c r="U897" s="28" t="str">
        <f>HYPERLINK("https://media.infra-m.ru/1044/1044597/cover/1044597.jpg", "Обложка")</f>
        <v>Обложка</v>
      </c>
      <c r="V897" s="28" t="str">
        <f>HYPERLINK("https://znanium.com/catalog/product/2082404", "Ознакомиться")</f>
        <v>Ознакомиться</v>
      </c>
      <c r="W897" s="8" t="s">
        <v>114</v>
      </c>
      <c r="X897" s="6"/>
      <c r="Y897" s="6"/>
      <c r="Z897" s="6"/>
      <c r="AA897" s="6" t="s">
        <v>46</v>
      </c>
    </row>
    <row r="898" spans="1:27" s="4" customFormat="1" ht="51.95" customHeight="1">
      <c r="A898" s="5">
        <v>0</v>
      </c>
      <c r="B898" s="6" t="s">
        <v>4984</v>
      </c>
      <c r="C898" s="13">
        <v>1024.9000000000001</v>
      </c>
      <c r="D898" s="8" t="s">
        <v>4985</v>
      </c>
      <c r="E898" s="8" t="s">
        <v>4986</v>
      </c>
      <c r="F898" s="8" t="s">
        <v>4987</v>
      </c>
      <c r="G898" s="6" t="s">
        <v>58</v>
      </c>
      <c r="H898" s="6" t="s">
        <v>400</v>
      </c>
      <c r="I898" s="8"/>
      <c r="J898" s="9">
        <v>1</v>
      </c>
      <c r="K898" s="9">
        <v>320</v>
      </c>
      <c r="L898" s="9">
        <v>2019</v>
      </c>
      <c r="M898" s="8"/>
      <c r="N898" s="8" t="s">
        <v>40</v>
      </c>
      <c r="O898" s="8" t="s">
        <v>41</v>
      </c>
      <c r="P898" s="6" t="s">
        <v>95</v>
      </c>
      <c r="Q898" s="8" t="s">
        <v>157</v>
      </c>
      <c r="R898" s="10" t="s">
        <v>4988</v>
      </c>
      <c r="S898" s="11"/>
      <c r="T898" s="6"/>
      <c r="U898" s="28" t="str">
        <f>HYPERLINK("https://media.infra-m.ru/1011/1011095/cover/1011095.jpg", "Обложка")</f>
        <v>Обложка</v>
      </c>
      <c r="V898" s="28" t="str">
        <f>HYPERLINK("https://znanium.com/catalog/product/2049691", "Ознакомиться")</f>
        <v>Ознакомиться</v>
      </c>
      <c r="W898" s="8" t="s">
        <v>114</v>
      </c>
      <c r="X898" s="6"/>
      <c r="Y898" s="6"/>
      <c r="Z898" s="6"/>
      <c r="AA898" s="6" t="s">
        <v>88</v>
      </c>
    </row>
    <row r="899" spans="1:27" s="4" customFormat="1" ht="51.95" customHeight="1">
      <c r="A899" s="5">
        <v>0</v>
      </c>
      <c r="B899" s="6" t="s">
        <v>4989</v>
      </c>
      <c r="C899" s="13">
        <v>1580</v>
      </c>
      <c r="D899" s="8" t="s">
        <v>4990</v>
      </c>
      <c r="E899" s="8" t="s">
        <v>4991</v>
      </c>
      <c r="F899" s="8" t="s">
        <v>4987</v>
      </c>
      <c r="G899" s="6" t="s">
        <v>37</v>
      </c>
      <c r="H899" s="6" t="s">
        <v>38</v>
      </c>
      <c r="I899" s="8"/>
      <c r="J899" s="9">
        <v>1</v>
      </c>
      <c r="K899" s="9">
        <v>336</v>
      </c>
      <c r="L899" s="9">
        <v>2024</v>
      </c>
      <c r="M899" s="8" t="s">
        <v>4992</v>
      </c>
      <c r="N899" s="8" t="s">
        <v>40</v>
      </c>
      <c r="O899" s="8" t="s">
        <v>41</v>
      </c>
      <c r="P899" s="6" t="s">
        <v>95</v>
      </c>
      <c r="Q899" s="8" t="s">
        <v>157</v>
      </c>
      <c r="R899" s="10" t="s">
        <v>4988</v>
      </c>
      <c r="S899" s="11"/>
      <c r="T899" s="6"/>
      <c r="U899" s="28" t="str">
        <f>HYPERLINK("https://media.infra-m.ru/2049/2049691/cover/2049691.jpg", "Обложка")</f>
        <v>Обложка</v>
      </c>
      <c r="V899" s="28" t="str">
        <f>HYPERLINK("https://znanium.com/catalog/product/2049691", "Ознакомиться")</f>
        <v>Ознакомиться</v>
      </c>
      <c r="W899" s="8" t="s">
        <v>114</v>
      </c>
      <c r="X899" s="6" t="s">
        <v>475</v>
      </c>
      <c r="Y899" s="6"/>
      <c r="Z899" s="6"/>
      <c r="AA899" s="6" t="s">
        <v>382</v>
      </c>
    </row>
    <row r="900" spans="1:27" s="4" customFormat="1" ht="51.95" customHeight="1">
      <c r="A900" s="5">
        <v>0</v>
      </c>
      <c r="B900" s="6" t="s">
        <v>4993</v>
      </c>
      <c r="C900" s="13">
        <v>1824.9</v>
      </c>
      <c r="D900" s="8" t="s">
        <v>4994</v>
      </c>
      <c r="E900" s="8" t="s">
        <v>4995</v>
      </c>
      <c r="F900" s="8" t="s">
        <v>4996</v>
      </c>
      <c r="G900" s="6" t="s">
        <v>58</v>
      </c>
      <c r="H900" s="6" t="s">
        <v>84</v>
      </c>
      <c r="I900" s="8" t="s">
        <v>316</v>
      </c>
      <c r="J900" s="9">
        <v>1</v>
      </c>
      <c r="K900" s="9">
        <v>479</v>
      </c>
      <c r="L900" s="9">
        <v>2022</v>
      </c>
      <c r="M900" s="8" t="s">
        <v>4997</v>
      </c>
      <c r="N900" s="8" t="s">
        <v>40</v>
      </c>
      <c r="O900" s="8" t="s">
        <v>41</v>
      </c>
      <c r="P900" s="6" t="s">
        <v>95</v>
      </c>
      <c r="Q900" s="8" t="s">
        <v>157</v>
      </c>
      <c r="R900" s="10" t="s">
        <v>4998</v>
      </c>
      <c r="S900" s="11" t="s">
        <v>4999</v>
      </c>
      <c r="T900" s="6"/>
      <c r="U900" s="28" t="str">
        <f>HYPERLINK("https://media.infra-m.ru/1816/1816909/cover/1816909.jpg", "Обложка")</f>
        <v>Обложка</v>
      </c>
      <c r="V900" s="28" t="str">
        <f>HYPERLINK("https://znanium.com/catalog/product/1816909", "Ознакомиться")</f>
        <v>Ознакомиться</v>
      </c>
      <c r="W900" s="8" t="s">
        <v>2492</v>
      </c>
      <c r="X900" s="6"/>
      <c r="Y900" s="6"/>
      <c r="Z900" s="6"/>
      <c r="AA900" s="6" t="s">
        <v>1187</v>
      </c>
    </row>
    <row r="901" spans="1:27" s="4" customFormat="1" ht="51.95" customHeight="1">
      <c r="A901" s="5">
        <v>0</v>
      </c>
      <c r="B901" s="6" t="s">
        <v>5000</v>
      </c>
      <c r="C901" s="7">
        <v>994.9</v>
      </c>
      <c r="D901" s="8" t="s">
        <v>5001</v>
      </c>
      <c r="E901" s="8" t="s">
        <v>5002</v>
      </c>
      <c r="F901" s="8" t="s">
        <v>4996</v>
      </c>
      <c r="G901" s="6" t="s">
        <v>58</v>
      </c>
      <c r="H901" s="6" t="s">
        <v>84</v>
      </c>
      <c r="I901" s="8" t="s">
        <v>120</v>
      </c>
      <c r="J901" s="9">
        <v>1</v>
      </c>
      <c r="K901" s="9">
        <v>461</v>
      </c>
      <c r="L901" s="9">
        <v>2017</v>
      </c>
      <c r="M901" s="8" t="s">
        <v>5003</v>
      </c>
      <c r="N901" s="8" t="s">
        <v>40</v>
      </c>
      <c r="O901" s="8" t="s">
        <v>41</v>
      </c>
      <c r="P901" s="6" t="s">
        <v>95</v>
      </c>
      <c r="Q901" s="8" t="s">
        <v>76</v>
      </c>
      <c r="R901" s="10" t="s">
        <v>4998</v>
      </c>
      <c r="S901" s="11" t="s">
        <v>5004</v>
      </c>
      <c r="T901" s="6"/>
      <c r="U901" s="12"/>
      <c r="V901" s="28" t="str">
        <f>HYPERLINK("https://znanium.com/catalog/product/1816909", "Ознакомиться")</f>
        <v>Ознакомиться</v>
      </c>
      <c r="W901" s="8" t="s">
        <v>2492</v>
      </c>
      <c r="X901" s="6"/>
      <c r="Y901" s="6"/>
      <c r="Z901" s="6"/>
      <c r="AA901" s="6" t="s">
        <v>727</v>
      </c>
    </row>
    <row r="902" spans="1:27" s="4" customFormat="1" ht="42" customHeight="1">
      <c r="A902" s="5">
        <v>0</v>
      </c>
      <c r="B902" s="6" t="s">
        <v>5005</v>
      </c>
      <c r="C902" s="7">
        <v>764</v>
      </c>
      <c r="D902" s="8" t="s">
        <v>5006</v>
      </c>
      <c r="E902" s="8" t="s">
        <v>5007</v>
      </c>
      <c r="F902" s="8" t="s">
        <v>5008</v>
      </c>
      <c r="G902" s="6" t="s">
        <v>51</v>
      </c>
      <c r="H902" s="6" t="s">
        <v>84</v>
      </c>
      <c r="I902" s="8" t="s">
        <v>793</v>
      </c>
      <c r="J902" s="9">
        <v>1</v>
      </c>
      <c r="K902" s="9">
        <v>168</v>
      </c>
      <c r="L902" s="9">
        <v>2023</v>
      </c>
      <c r="M902" s="8" t="s">
        <v>5009</v>
      </c>
      <c r="N902" s="8" t="s">
        <v>40</v>
      </c>
      <c r="O902" s="8" t="s">
        <v>41</v>
      </c>
      <c r="P902" s="6" t="s">
        <v>42</v>
      </c>
      <c r="Q902" s="8" t="s">
        <v>43</v>
      </c>
      <c r="R902" s="10" t="s">
        <v>310</v>
      </c>
      <c r="S902" s="11"/>
      <c r="T902" s="6" t="s">
        <v>368</v>
      </c>
      <c r="U902" s="28" t="str">
        <f>HYPERLINK("https://media.infra-m.ru/2021/2021461/cover/2021461.jpg", "Обложка")</f>
        <v>Обложка</v>
      </c>
      <c r="V902" s="28" t="str">
        <f>HYPERLINK("https://znanium.com/catalog/product/970046", "Ознакомиться")</f>
        <v>Ознакомиться</v>
      </c>
      <c r="W902" s="8" t="s">
        <v>334</v>
      </c>
      <c r="X902" s="6"/>
      <c r="Y902" s="6"/>
      <c r="Z902" s="6"/>
      <c r="AA902" s="6" t="s">
        <v>79</v>
      </c>
    </row>
    <row r="903" spans="1:27" s="4" customFormat="1" ht="42" customHeight="1">
      <c r="A903" s="5">
        <v>0</v>
      </c>
      <c r="B903" s="6" t="s">
        <v>5010</v>
      </c>
      <c r="C903" s="7">
        <v>490</v>
      </c>
      <c r="D903" s="8" t="s">
        <v>5011</v>
      </c>
      <c r="E903" s="8" t="s">
        <v>5012</v>
      </c>
      <c r="F903" s="8" t="s">
        <v>5013</v>
      </c>
      <c r="G903" s="6" t="s">
        <v>51</v>
      </c>
      <c r="H903" s="6" t="s">
        <v>84</v>
      </c>
      <c r="I903" s="8" t="s">
        <v>251</v>
      </c>
      <c r="J903" s="9">
        <v>1</v>
      </c>
      <c r="K903" s="9">
        <v>109</v>
      </c>
      <c r="L903" s="9">
        <v>2023</v>
      </c>
      <c r="M903" s="8" t="s">
        <v>5014</v>
      </c>
      <c r="N903" s="8" t="s">
        <v>40</v>
      </c>
      <c r="O903" s="8" t="s">
        <v>41</v>
      </c>
      <c r="P903" s="6" t="s">
        <v>42</v>
      </c>
      <c r="Q903" s="8" t="s">
        <v>43</v>
      </c>
      <c r="R903" s="10" t="s">
        <v>304</v>
      </c>
      <c r="S903" s="11"/>
      <c r="T903" s="6"/>
      <c r="U903" s="28" t="str">
        <f>HYPERLINK("https://media.infra-m.ru/1891/1891645/cover/1891645.jpg", "Обложка")</f>
        <v>Обложка</v>
      </c>
      <c r="V903" s="28" t="str">
        <f>HYPERLINK("https://znanium.com/catalog/product/1891645", "Ознакомиться")</f>
        <v>Ознакомиться</v>
      </c>
      <c r="W903" s="8" t="s">
        <v>2644</v>
      </c>
      <c r="X903" s="6"/>
      <c r="Y903" s="6"/>
      <c r="Z903" s="6"/>
      <c r="AA903" s="6" t="s">
        <v>79</v>
      </c>
    </row>
    <row r="904" spans="1:27" s="4" customFormat="1" ht="42" customHeight="1">
      <c r="A904" s="5">
        <v>0</v>
      </c>
      <c r="B904" s="6" t="s">
        <v>5015</v>
      </c>
      <c r="C904" s="7">
        <v>770</v>
      </c>
      <c r="D904" s="8" t="s">
        <v>5016</v>
      </c>
      <c r="E904" s="8" t="s">
        <v>5017</v>
      </c>
      <c r="F904" s="8" t="s">
        <v>1629</v>
      </c>
      <c r="G904" s="6" t="s">
        <v>51</v>
      </c>
      <c r="H904" s="6" t="s">
        <v>84</v>
      </c>
      <c r="I904" s="8" t="s">
        <v>251</v>
      </c>
      <c r="J904" s="9">
        <v>1</v>
      </c>
      <c r="K904" s="9">
        <v>219</v>
      </c>
      <c r="L904" s="9">
        <v>2020</v>
      </c>
      <c r="M904" s="8" t="s">
        <v>5018</v>
      </c>
      <c r="N904" s="8" t="s">
        <v>40</v>
      </c>
      <c r="O904" s="8" t="s">
        <v>41</v>
      </c>
      <c r="P904" s="6" t="s">
        <v>42</v>
      </c>
      <c r="Q904" s="8" t="s">
        <v>43</v>
      </c>
      <c r="R904" s="10" t="s">
        <v>304</v>
      </c>
      <c r="S904" s="11"/>
      <c r="T904" s="6"/>
      <c r="U904" s="28" t="str">
        <f>HYPERLINK("https://media.infra-m.ru/1087/1087991/cover/1087991.jpg", "Обложка")</f>
        <v>Обложка</v>
      </c>
      <c r="V904" s="28" t="str">
        <f>HYPERLINK("https://znanium.com/catalog/product/1087991", "Ознакомиться")</f>
        <v>Ознакомиться</v>
      </c>
      <c r="W904" s="8" t="s">
        <v>114</v>
      </c>
      <c r="X904" s="6"/>
      <c r="Y904" s="6"/>
      <c r="Z904" s="6"/>
      <c r="AA904" s="6" t="s">
        <v>79</v>
      </c>
    </row>
    <row r="905" spans="1:27" s="4" customFormat="1" ht="42" customHeight="1">
      <c r="A905" s="5">
        <v>0</v>
      </c>
      <c r="B905" s="6" t="s">
        <v>5019</v>
      </c>
      <c r="C905" s="7">
        <v>819.9</v>
      </c>
      <c r="D905" s="8" t="s">
        <v>5020</v>
      </c>
      <c r="E905" s="8" t="s">
        <v>5021</v>
      </c>
      <c r="F905" s="8" t="s">
        <v>5022</v>
      </c>
      <c r="G905" s="6" t="s">
        <v>37</v>
      </c>
      <c r="H905" s="6" t="s">
        <v>38</v>
      </c>
      <c r="I905" s="8"/>
      <c r="J905" s="9">
        <v>1</v>
      </c>
      <c r="K905" s="9">
        <v>208</v>
      </c>
      <c r="L905" s="9">
        <v>2022</v>
      </c>
      <c r="M905" s="8" t="s">
        <v>5023</v>
      </c>
      <c r="N905" s="8" t="s">
        <v>40</v>
      </c>
      <c r="O905" s="8" t="s">
        <v>41</v>
      </c>
      <c r="P905" s="6" t="s">
        <v>95</v>
      </c>
      <c r="Q905" s="8" t="s">
        <v>157</v>
      </c>
      <c r="R905" s="10" t="s">
        <v>340</v>
      </c>
      <c r="S905" s="11"/>
      <c r="T905" s="6"/>
      <c r="U905" s="28" t="str">
        <f>HYPERLINK("https://media.infra-m.ru/1856/1856390/cover/1856390.jpg", "Обложка")</f>
        <v>Обложка</v>
      </c>
      <c r="V905" s="28" t="str">
        <f>HYPERLINK("https://znanium.com/catalog/product/1856390", "Ознакомиться")</f>
        <v>Ознакомиться</v>
      </c>
      <c r="W905" s="8" t="s">
        <v>114</v>
      </c>
      <c r="X905" s="6"/>
      <c r="Y905" s="6"/>
      <c r="Z905" s="6"/>
      <c r="AA905" s="6" t="s">
        <v>143</v>
      </c>
    </row>
    <row r="906" spans="1:27" s="4" customFormat="1" ht="42" customHeight="1">
      <c r="A906" s="5">
        <v>0</v>
      </c>
      <c r="B906" s="6" t="s">
        <v>5024</v>
      </c>
      <c r="C906" s="7">
        <v>790</v>
      </c>
      <c r="D906" s="8" t="s">
        <v>5025</v>
      </c>
      <c r="E906" s="8" t="s">
        <v>5026</v>
      </c>
      <c r="F906" s="8" t="s">
        <v>5022</v>
      </c>
      <c r="G906" s="6" t="s">
        <v>58</v>
      </c>
      <c r="H906" s="6" t="s">
        <v>38</v>
      </c>
      <c r="I906" s="8"/>
      <c r="J906" s="9">
        <v>1</v>
      </c>
      <c r="K906" s="9">
        <v>208</v>
      </c>
      <c r="L906" s="9">
        <v>2020</v>
      </c>
      <c r="M906" s="8" t="s">
        <v>5027</v>
      </c>
      <c r="N906" s="8" t="s">
        <v>40</v>
      </c>
      <c r="O906" s="8" t="s">
        <v>41</v>
      </c>
      <c r="P906" s="6" t="s">
        <v>95</v>
      </c>
      <c r="Q906" s="8" t="s">
        <v>157</v>
      </c>
      <c r="R906" s="10" t="s">
        <v>340</v>
      </c>
      <c r="S906" s="11"/>
      <c r="T906" s="6"/>
      <c r="U906" s="28" t="str">
        <f>HYPERLINK("https://media.infra-m.ru/1087/1087549/cover/1087549.jpg", "Обложка")</f>
        <v>Обложка</v>
      </c>
      <c r="V906" s="28" t="str">
        <f>HYPERLINK("https://znanium.com/catalog/product/1856390", "Ознакомиться")</f>
        <v>Ознакомиться</v>
      </c>
      <c r="W906" s="8" t="s">
        <v>114</v>
      </c>
      <c r="X906" s="6"/>
      <c r="Y906" s="6"/>
      <c r="Z906" s="6"/>
      <c r="AA906" s="6" t="s">
        <v>79</v>
      </c>
    </row>
    <row r="907" spans="1:27" s="4" customFormat="1" ht="51.95" customHeight="1">
      <c r="A907" s="5">
        <v>0</v>
      </c>
      <c r="B907" s="6" t="s">
        <v>5028</v>
      </c>
      <c r="C907" s="13">
        <v>1199.9000000000001</v>
      </c>
      <c r="D907" s="8" t="s">
        <v>5029</v>
      </c>
      <c r="E907" s="8" t="s">
        <v>5030</v>
      </c>
      <c r="F907" s="8" t="s">
        <v>567</v>
      </c>
      <c r="G907" s="6" t="s">
        <v>58</v>
      </c>
      <c r="H907" s="6" t="s">
        <v>38</v>
      </c>
      <c r="I907" s="8"/>
      <c r="J907" s="9">
        <v>1</v>
      </c>
      <c r="K907" s="9">
        <v>248</v>
      </c>
      <c r="L907" s="9">
        <v>2023</v>
      </c>
      <c r="M907" s="8" t="s">
        <v>5031</v>
      </c>
      <c r="N907" s="8" t="s">
        <v>40</v>
      </c>
      <c r="O907" s="8" t="s">
        <v>41</v>
      </c>
      <c r="P907" s="6" t="s">
        <v>95</v>
      </c>
      <c r="Q907" s="8" t="s">
        <v>157</v>
      </c>
      <c r="R907" s="10" t="s">
        <v>5032</v>
      </c>
      <c r="S907" s="11"/>
      <c r="T907" s="6"/>
      <c r="U907" s="28" t="str">
        <f>HYPERLINK("https://media.infra-m.ru/1905/1905572/cover/1905572.jpg", "Обложка")</f>
        <v>Обложка</v>
      </c>
      <c r="V907" s="28" t="str">
        <f>HYPERLINK("https://znanium.com/catalog/product/1905572", "Ознакомиться")</f>
        <v>Ознакомиться</v>
      </c>
      <c r="W907" s="8" t="s">
        <v>114</v>
      </c>
      <c r="X907" s="6"/>
      <c r="Y907" s="6"/>
      <c r="Z907" s="6"/>
      <c r="AA907" s="6" t="s">
        <v>408</v>
      </c>
    </row>
    <row r="908" spans="1:27" s="4" customFormat="1" ht="51.95" customHeight="1">
      <c r="A908" s="5">
        <v>0</v>
      </c>
      <c r="B908" s="6" t="s">
        <v>5033</v>
      </c>
      <c r="C908" s="13">
        <v>1574.9</v>
      </c>
      <c r="D908" s="8" t="s">
        <v>5034</v>
      </c>
      <c r="E908" s="8" t="s">
        <v>5035</v>
      </c>
      <c r="F908" s="8" t="s">
        <v>5036</v>
      </c>
      <c r="G908" s="6" t="s">
        <v>58</v>
      </c>
      <c r="H908" s="6" t="s">
        <v>38</v>
      </c>
      <c r="I908" s="8"/>
      <c r="J908" s="9">
        <v>1</v>
      </c>
      <c r="K908" s="9">
        <v>464</v>
      </c>
      <c r="L908" s="9">
        <v>2019</v>
      </c>
      <c r="M908" s="8" t="s">
        <v>5037</v>
      </c>
      <c r="N908" s="8" t="s">
        <v>40</v>
      </c>
      <c r="O908" s="8" t="s">
        <v>41</v>
      </c>
      <c r="P908" s="6" t="s">
        <v>42</v>
      </c>
      <c r="Q908" s="8" t="s">
        <v>296</v>
      </c>
      <c r="R908" s="10" t="s">
        <v>5038</v>
      </c>
      <c r="S908" s="11"/>
      <c r="T908" s="6"/>
      <c r="U908" s="28" t="str">
        <f>HYPERLINK("https://media.infra-m.ru/1010/1010522/cover/1010522.jpg", "Обложка")</f>
        <v>Обложка</v>
      </c>
      <c r="V908" s="28" t="str">
        <f>HYPERLINK("https://znanium.com/catalog/product/1010522", "Ознакомиться")</f>
        <v>Ознакомиться</v>
      </c>
      <c r="W908" s="8" t="s">
        <v>114</v>
      </c>
      <c r="X908" s="6"/>
      <c r="Y908" s="6"/>
      <c r="Z908" s="6"/>
      <c r="AA908" s="6" t="s">
        <v>148</v>
      </c>
    </row>
    <row r="909" spans="1:27" s="4" customFormat="1" ht="42" customHeight="1">
      <c r="A909" s="5">
        <v>0</v>
      </c>
      <c r="B909" s="6" t="s">
        <v>5039</v>
      </c>
      <c r="C909" s="13">
        <v>1220</v>
      </c>
      <c r="D909" s="8" t="s">
        <v>5040</v>
      </c>
      <c r="E909" s="8" t="s">
        <v>5041</v>
      </c>
      <c r="F909" s="8" t="s">
        <v>5042</v>
      </c>
      <c r="G909" s="6" t="s">
        <v>37</v>
      </c>
      <c r="H909" s="6" t="s">
        <v>84</v>
      </c>
      <c r="I909" s="8" t="s">
        <v>85</v>
      </c>
      <c r="J909" s="9">
        <v>1</v>
      </c>
      <c r="K909" s="9">
        <v>312</v>
      </c>
      <c r="L909" s="9">
        <v>2022</v>
      </c>
      <c r="M909" s="8" t="s">
        <v>5043</v>
      </c>
      <c r="N909" s="8" t="s">
        <v>40</v>
      </c>
      <c r="O909" s="8" t="s">
        <v>41</v>
      </c>
      <c r="P909" s="6" t="s">
        <v>42</v>
      </c>
      <c r="Q909" s="8" t="s">
        <v>43</v>
      </c>
      <c r="R909" s="10" t="s">
        <v>304</v>
      </c>
      <c r="S909" s="11"/>
      <c r="T909" s="6"/>
      <c r="U909" s="28" t="str">
        <f>HYPERLINK("https://media.infra-m.ru/1841/1841652/cover/1841652.jpg", "Обложка")</f>
        <v>Обложка</v>
      </c>
      <c r="V909" s="28" t="str">
        <f>HYPERLINK("https://znanium.com/catalog/product/1841652", "Ознакомиться")</f>
        <v>Ознакомиться</v>
      </c>
      <c r="W909" s="8" t="s">
        <v>45</v>
      </c>
      <c r="X909" s="6"/>
      <c r="Y909" s="6"/>
      <c r="Z909" s="6"/>
      <c r="AA909" s="6" t="s">
        <v>79</v>
      </c>
    </row>
    <row r="910" spans="1:27" s="4" customFormat="1" ht="44.1" customHeight="1">
      <c r="A910" s="5">
        <v>0</v>
      </c>
      <c r="B910" s="6" t="s">
        <v>5044</v>
      </c>
      <c r="C910" s="7">
        <v>960</v>
      </c>
      <c r="D910" s="8" t="s">
        <v>5045</v>
      </c>
      <c r="E910" s="8" t="s">
        <v>5046</v>
      </c>
      <c r="F910" s="8" t="s">
        <v>5047</v>
      </c>
      <c r="G910" s="6" t="s">
        <v>51</v>
      </c>
      <c r="H910" s="6" t="s">
        <v>84</v>
      </c>
      <c r="I910" s="8" t="s">
        <v>251</v>
      </c>
      <c r="J910" s="9">
        <v>1</v>
      </c>
      <c r="K910" s="9">
        <v>205</v>
      </c>
      <c r="L910" s="9">
        <v>2023</v>
      </c>
      <c r="M910" s="8" t="s">
        <v>5048</v>
      </c>
      <c r="N910" s="8" t="s">
        <v>40</v>
      </c>
      <c r="O910" s="8" t="s">
        <v>41</v>
      </c>
      <c r="P910" s="6" t="s">
        <v>42</v>
      </c>
      <c r="Q910" s="8" t="s">
        <v>43</v>
      </c>
      <c r="R910" s="10" t="s">
        <v>3522</v>
      </c>
      <c r="S910" s="11"/>
      <c r="T910" s="6"/>
      <c r="U910" s="28" t="str">
        <f>HYPERLINK("https://media.infra-m.ru/1863/1863097/cover/1863097.jpg", "Обложка")</f>
        <v>Обложка</v>
      </c>
      <c r="V910" s="28" t="str">
        <f>HYPERLINK("https://znanium.com/catalog/product/1863097", "Ознакомиться")</f>
        <v>Ознакомиться</v>
      </c>
      <c r="W910" s="8" t="s">
        <v>1285</v>
      </c>
      <c r="X910" s="6" t="s">
        <v>904</v>
      </c>
      <c r="Y910" s="6"/>
      <c r="Z910" s="6"/>
      <c r="AA910" s="6" t="s">
        <v>408</v>
      </c>
    </row>
    <row r="911" spans="1:27" s="4" customFormat="1" ht="51.95" customHeight="1">
      <c r="A911" s="5">
        <v>0</v>
      </c>
      <c r="B911" s="6" t="s">
        <v>5049</v>
      </c>
      <c r="C911" s="13">
        <v>1120</v>
      </c>
      <c r="D911" s="8" t="s">
        <v>5050</v>
      </c>
      <c r="E911" s="8" t="s">
        <v>5051</v>
      </c>
      <c r="F911" s="8" t="s">
        <v>1565</v>
      </c>
      <c r="G911" s="6" t="s">
        <v>58</v>
      </c>
      <c r="H911" s="6" t="s">
        <v>84</v>
      </c>
      <c r="I911" s="8" t="s">
        <v>93</v>
      </c>
      <c r="J911" s="9">
        <v>1</v>
      </c>
      <c r="K911" s="9">
        <v>236</v>
      </c>
      <c r="L911" s="9">
        <v>2023</v>
      </c>
      <c r="M911" s="8" t="s">
        <v>5052</v>
      </c>
      <c r="N911" s="8" t="s">
        <v>40</v>
      </c>
      <c r="O911" s="8" t="s">
        <v>41</v>
      </c>
      <c r="P911" s="6" t="s">
        <v>75</v>
      </c>
      <c r="Q911" s="8" t="s">
        <v>96</v>
      </c>
      <c r="R911" s="10" t="s">
        <v>5053</v>
      </c>
      <c r="S911" s="11" t="s">
        <v>5054</v>
      </c>
      <c r="T911" s="6"/>
      <c r="U911" s="28" t="str">
        <f>HYPERLINK("https://media.infra-m.ru/1860/1860974/cover/1860974.jpg", "Обложка")</f>
        <v>Обложка</v>
      </c>
      <c r="V911" s="28" t="str">
        <f>HYPERLINK("https://znanium.com/catalog/product/1860974", "Ознакомиться")</f>
        <v>Ознакомиться</v>
      </c>
      <c r="W911" s="8" t="s">
        <v>1568</v>
      </c>
      <c r="X911" s="6" t="s">
        <v>904</v>
      </c>
      <c r="Y911" s="6"/>
      <c r="Z911" s="6"/>
      <c r="AA911" s="6" t="s">
        <v>408</v>
      </c>
    </row>
    <row r="912" spans="1:27" s="4" customFormat="1" ht="42" customHeight="1">
      <c r="A912" s="5">
        <v>0</v>
      </c>
      <c r="B912" s="6" t="s">
        <v>5055</v>
      </c>
      <c r="C912" s="7">
        <v>570</v>
      </c>
      <c r="D912" s="8" t="s">
        <v>5056</v>
      </c>
      <c r="E912" s="8" t="s">
        <v>5057</v>
      </c>
      <c r="F912" s="8" t="s">
        <v>4722</v>
      </c>
      <c r="G912" s="6" t="s">
        <v>51</v>
      </c>
      <c r="H912" s="6" t="s">
        <v>84</v>
      </c>
      <c r="I912" s="8" t="s">
        <v>85</v>
      </c>
      <c r="J912" s="9">
        <v>1</v>
      </c>
      <c r="K912" s="9">
        <v>160</v>
      </c>
      <c r="L912" s="9">
        <v>2020</v>
      </c>
      <c r="M912" s="8" t="s">
        <v>5058</v>
      </c>
      <c r="N912" s="8" t="s">
        <v>40</v>
      </c>
      <c r="O912" s="8" t="s">
        <v>41</v>
      </c>
      <c r="P912" s="6" t="s">
        <v>42</v>
      </c>
      <c r="Q912" s="8" t="s">
        <v>43</v>
      </c>
      <c r="R912" s="10" t="s">
        <v>5059</v>
      </c>
      <c r="S912" s="11"/>
      <c r="T912" s="6"/>
      <c r="U912" s="28" t="str">
        <f>HYPERLINK("https://media.infra-m.ru/1094/1094518/cover/1094518.jpg", "Обложка")</f>
        <v>Обложка</v>
      </c>
      <c r="V912" s="28" t="str">
        <f>HYPERLINK("https://znanium.com/catalog/product/1094518", "Ознакомиться")</f>
        <v>Ознакомиться</v>
      </c>
      <c r="W912" s="8" t="s">
        <v>1568</v>
      </c>
      <c r="X912" s="6"/>
      <c r="Y912" s="6"/>
      <c r="Z912" s="6"/>
      <c r="AA912" s="6" t="s">
        <v>88</v>
      </c>
    </row>
    <row r="913" spans="1:27" s="4" customFormat="1" ht="51.95" customHeight="1">
      <c r="A913" s="5">
        <v>0</v>
      </c>
      <c r="B913" s="6" t="s">
        <v>5060</v>
      </c>
      <c r="C913" s="7">
        <v>989.9</v>
      </c>
      <c r="D913" s="8" t="s">
        <v>5061</v>
      </c>
      <c r="E913" s="8" t="s">
        <v>5062</v>
      </c>
      <c r="F913" s="8" t="s">
        <v>5063</v>
      </c>
      <c r="G913" s="6" t="s">
        <v>58</v>
      </c>
      <c r="H913" s="6" t="s">
        <v>38</v>
      </c>
      <c r="I913" s="8"/>
      <c r="J913" s="9">
        <v>1</v>
      </c>
      <c r="K913" s="9">
        <v>284</v>
      </c>
      <c r="L913" s="9">
        <v>2019</v>
      </c>
      <c r="M913" s="8" t="s">
        <v>5064</v>
      </c>
      <c r="N913" s="8" t="s">
        <v>40</v>
      </c>
      <c r="O913" s="8" t="s">
        <v>41</v>
      </c>
      <c r="P913" s="6" t="s">
        <v>95</v>
      </c>
      <c r="Q913" s="8" t="s">
        <v>157</v>
      </c>
      <c r="R913" s="10" t="s">
        <v>5065</v>
      </c>
      <c r="S913" s="11"/>
      <c r="T913" s="6"/>
      <c r="U913" s="28" t="str">
        <f>HYPERLINK("https://media.infra-m.ru/0999/0999981/cover/999981.jpg", "Обложка")</f>
        <v>Обложка</v>
      </c>
      <c r="V913" s="28" t="str">
        <f>HYPERLINK("https://znanium.com/catalog/product/987803", "Ознакомиться")</f>
        <v>Ознакомиться</v>
      </c>
      <c r="W913" s="8" t="s">
        <v>1482</v>
      </c>
      <c r="X913" s="6"/>
      <c r="Y913" s="6"/>
      <c r="Z913" s="6"/>
      <c r="AA913" s="6" t="s">
        <v>79</v>
      </c>
    </row>
    <row r="914" spans="1:27" s="4" customFormat="1" ht="51.95" customHeight="1">
      <c r="A914" s="5">
        <v>0</v>
      </c>
      <c r="B914" s="6" t="s">
        <v>5066</v>
      </c>
      <c r="C914" s="7">
        <v>299.89999999999998</v>
      </c>
      <c r="D914" s="8" t="s">
        <v>5067</v>
      </c>
      <c r="E914" s="8" t="s">
        <v>5068</v>
      </c>
      <c r="F914" s="8" t="s">
        <v>5069</v>
      </c>
      <c r="G914" s="6" t="s">
        <v>26</v>
      </c>
      <c r="H914" s="6" t="s">
        <v>52</v>
      </c>
      <c r="I914" s="8" t="s">
        <v>251</v>
      </c>
      <c r="J914" s="9">
        <v>20</v>
      </c>
      <c r="K914" s="9">
        <v>160</v>
      </c>
      <c r="L914" s="9">
        <v>2015</v>
      </c>
      <c r="M914" s="8" t="s">
        <v>5070</v>
      </c>
      <c r="N914" s="8" t="s">
        <v>40</v>
      </c>
      <c r="O914" s="8" t="s">
        <v>41</v>
      </c>
      <c r="P914" s="6" t="s">
        <v>42</v>
      </c>
      <c r="Q914" s="8" t="s">
        <v>296</v>
      </c>
      <c r="R914" s="10" t="s">
        <v>5071</v>
      </c>
      <c r="S914" s="11"/>
      <c r="T914" s="6"/>
      <c r="U914" s="12"/>
      <c r="V914" s="28" t="str">
        <f>HYPERLINK("https://znanium.com/catalog/product/926863", "Ознакомиться")</f>
        <v>Ознакомиться</v>
      </c>
      <c r="W914" s="8" t="s">
        <v>45</v>
      </c>
      <c r="X914" s="6"/>
      <c r="Y914" s="6"/>
      <c r="Z914" s="6"/>
      <c r="AA914" s="6" t="s">
        <v>298</v>
      </c>
    </row>
    <row r="915" spans="1:27" s="4" customFormat="1" ht="51.95" customHeight="1">
      <c r="A915" s="5">
        <v>0</v>
      </c>
      <c r="B915" s="6" t="s">
        <v>5072</v>
      </c>
      <c r="C915" s="7">
        <v>750</v>
      </c>
      <c r="D915" s="8" t="s">
        <v>5073</v>
      </c>
      <c r="E915" s="8" t="s">
        <v>5074</v>
      </c>
      <c r="F915" s="8" t="s">
        <v>5075</v>
      </c>
      <c r="G915" s="6" t="s">
        <v>51</v>
      </c>
      <c r="H915" s="6" t="s">
        <v>84</v>
      </c>
      <c r="I915" s="8" t="s">
        <v>251</v>
      </c>
      <c r="J915" s="9">
        <v>1</v>
      </c>
      <c r="K915" s="9">
        <v>156</v>
      </c>
      <c r="L915" s="9">
        <v>2024</v>
      </c>
      <c r="M915" s="8" t="s">
        <v>5076</v>
      </c>
      <c r="N915" s="8" t="s">
        <v>40</v>
      </c>
      <c r="O915" s="8" t="s">
        <v>41</v>
      </c>
      <c r="P915" s="6" t="s">
        <v>42</v>
      </c>
      <c r="Q915" s="8" t="s">
        <v>43</v>
      </c>
      <c r="R915" s="10" t="s">
        <v>452</v>
      </c>
      <c r="S915" s="11"/>
      <c r="T915" s="6"/>
      <c r="U915" s="28" t="str">
        <f>HYPERLINK("https://media.infra-m.ru/2095/2095601/cover/2095601.jpg", "Обложка")</f>
        <v>Обложка</v>
      </c>
      <c r="V915" s="28" t="str">
        <f>HYPERLINK("https://znanium.com/catalog/product/2095601", "Ознакомиться")</f>
        <v>Ознакомиться</v>
      </c>
      <c r="W915" s="8" t="s">
        <v>5077</v>
      </c>
      <c r="X915" s="6"/>
      <c r="Y915" s="6"/>
      <c r="Z915" s="6"/>
      <c r="AA915" s="6" t="s">
        <v>46</v>
      </c>
    </row>
    <row r="916" spans="1:27" s="4" customFormat="1" ht="51.95" customHeight="1">
      <c r="A916" s="5">
        <v>0</v>
      </c>
      <c r="B916" s="6" t="s">
        <v>5078</v>
      </c>
      <c r="C916" s="7">
        <v>910</v>
      </c>
      <c r="D916" s="8" t="s">
        <v>5079</v>
      </c>
      <c r="E916" s="8" t="s">
        <v>5080</v>
      </c>
      <c r="F916" s="8" t="s">
        <v>5081</v>
      </c>
      <c r="G916" s="6" t="s">
        <v>51</v>
      </c>
      <c r="H916" s="6" t="s">
        <v>84</v>
      </c>
      <c r="I916" s="8" t="s">
        <v>251</v>
      </c>
      <c r="J916" s="9">
        <v>1</v>
      </c>
      <c r="K916" s="9">
        <v>197</v>
      </c>
      <c r="L916" s="9">
        <v>2024</v>
      </c>
      <c r="M916" s="8" t="s">
        <v>5082</v>
      </c>
      <c r="N916" s="8" t="s">
        <v>40</v>
      </c>
      <c r="O916" s="8" t="s">
        <v>41</v>
      </c>
      <c r="P916" s="6" t="s">
        <v>42</v>
      </c>
      <c r="Q916" s="8" t="s">
        <v>43</v>
      </c>
      <c r="R916" s="10" t="s">
        <v>5083</v>
      </c>
      <c r="S916" s="11"/>
      <c r="T916" s="6"/>
      <c r="U916" s="28" t="str">
        <f>HYPERLINK("https://media.infra-m.ru/1981/1981688/cover/1981688.jpg", "Обложка")</f>
        <v>Обложка</v>
      </c>
      <c r="V916" s="28" t="str">
        <f>HYPERLINK("https://znanium.com/catalog/product/1981688", "Ознакомиться")</f>
        <v>Ознакомиться</v>
      </c>
      <c r="W916" s="8" t="s">
        <v>5084</v>
      </c>
      <c r="X916" s="6" t="s">
        <v>381</v>
      </c>
      <c r="Y916" s="6"/>
      <c r="Z916" s="6"/>
      <c r="AA916" s="6" t="s">
        <v>100</v>
      </c>
    </row>
    <row r="917" spans="1:27" s="4" customFormat="1" ht="51.95" customHeight="1">
      <c r="A917" s="5">
        <v>0</v>
      </c>
      <c r="B917" s="6" t="s">
        <v>5085</v>
      </c>
      <c r="C917" s="13">
        <v>1120</v>
      </c>
      <c r="D917" s="8" t="s">
        <v>5086</v>
      </c>
      <c r="E917" s="8" t="s">
        <v>5087</v>
      </c>
      <c r="F917" s="8" t="s">
        <v>5088</v>
      </c>
      <c r="G917" s="6" t="s">
        <v>37</v>
      </c>
      <c r="H917" s="6" t="s">
        <v>38</v>
      </c>
      <c r="I917" s="8"/>
      <c r="J917" s="9">
        <v>1</v>
      </c>
      <c r="K917" s="9">
        <v>248</v>
      </c>
      <c r="L917" s="9">
        <v>2023</v>
      </c>
      <c r="M917" s="8" t="s">
        <v>5089</v>
      </c>
      <c r="N917" s="8" t="s">
        <v>40</v>
      </c>
      <c r="O917" s="8" t="s">
        <v>41</v>
      </c>
      <c r="P917" s="6" t="s">
        <v>42</v>
      </c>
      <c r="Q917" s="8" t="s">
        <v>43</v>
      </c>
      <c r="R917" s="10" t="s">
        <v>473</v>
      </c>
      <c r="S917" s="11"/>
      <c r="T917" s="6"/>
      <c r="U917" s="28" t="str">
        <f>HYPERLINK("https://media.infra-m.ru/2017/2017328/cover/2017328.jpg", "Обложка")</f>
        <v>Обложка</v>
      </c>
      <c r="V917" s="28" t="str">
        <f>HYPERLINK("https://znanium.com/catalog/product/1911600", "Ознакомиться")</f>
        <v>Ознакомиться</v>
      </c>
      <c r="W917" s="8"/>
      <c r="X917" s="6"/>
      <c r="Y917" s="6"/>
      <c r="Z917" s="6"/>
      <c r="AA917" s="6" t="s">
        <v>408</v>
      </c>
    </row>
    <row r="918" spans="1:27" s="4" customFormat="1" ht="44.1" customHeight="1">
      <c r="A918" s="5">
        <v>0</v>
      </c>
      <c r="B918" s="6" t="s">
        <v>5090</v>
      </c>
      <c r="C918" s="7">
        <v>894.9</v>
      </c>
      <c r="D918" s="8" t="s">
        <v>5091</v>
      </c>
      <c r="E918" s="8" t="s">
        <v>5092</v>
      </c>
      <c r="F918" s="8" t="s">
        <v>5093</v>
      </c>
      <c r="G918" s="6" t="s">
        <v>51</v>
      </c>
      <c r="H918" s="6" t="s">
        <v>38</v>
      </c>
      <c r="I918" s="8"/>
      <c r="J918" s="9">
        <v>1</v>
      </c>
      <c r="K918" s="9">
        <v>288</v>
      </c>
      <c r="L918" s="9">
        <v>2017</v>
      </c>
      <c r="M918" s="8" t="s">
        <v>5094</v>
      </c>
      <c r="N918" s="8" t="s">
        <v>40</v>
      </c>
      <c r="O918" s="8" t="s">
        <v>41</v>
      </c>
      <c r="P918" s="6" t="s">
        <v>42</v>
      </c>
      <c r="Q918" s="8" t="s">
        <v>296</v>
      </c>
      <c r="R918" s="10" t="s">
        <v>776</v>
      </c>
      <c r="S918" s="11"/>
      <c r="T918" s="6"/>
      <c r="U918" s="28" t="str">
        <f>HYPERLINK("https://media.infra-m.ru/0883/0883950/cover/883950.jpg", "Обложка")</f>
        <v>Обложка</v>
      </c>
      <c r="V918" s="28" t="str">
        <f>HYPERLINK("https://znanium.com/catalog/product/486169", "Ознакомиться")</f>
        <v>Ознакомиться</v>
      </c>
      <c r="W918" s="8" t="s">
        <v>1082</v>
      </c>
      <c r="X918" s="6"/>
      <c r="Y918" s="6"/>
      <c r="Z918" s="6"/>
      <c r="AA918" s="6" t="s">
        <v>422</v>
      </c>
    </row>
    <row r="919" spans="1:27" s="4" customFormat="1" ht="42" customHeight="1">
      <c r="A919" s="5">
        <v>0</v>
      </c>
      <c r="B919" s="6" t="s">
        <v>5095</v>
      </c>
      <c r="C919" s="7">
        <v>860</v>
      </c>
      <c r="D919" s="8" t="s">
        <v>5096</v>
      </c>
      <c r="E919" s="8" t="s">
        <v>5097</v>
      </c>
      <c r="F919" s="8" t="s">
        <v>5098</v>
      </c>
      <c r="G919" s="6" t="s">
        <v>51</v>
      </c>
      <c r="H919" s="6" t="s">
        <v>84</v>
      </c>
      <c r="I919" s="8" t="s">
        <v>251</v>
      </c>
      <c r="J919" s="9">
        <v>1</v>
      </c>
      <c r="K919" s="9">
        <v>178</v>
      </c>
      <c r="L919" s="9">
        <v>2023</v>
      </c>
      <c r="M919" s="8" t="s">
        <v>5099</v>
      </c>
      <c r="N919" s="8" t="s">
        <v>40</v>
      </c>
      <c r="O919" s="8" t="s">
        <v>41</v>
      </c>
      <c r="P919" s="6" t="s">
        <v>42</v>
      </c>
      <c r="Q919" s="8" t="s">
        <v>43</v>
      </c>
      <c r="R919" s="10" t="s">
        <v>5100</v>
      </c>
      <c r="S919" s="11"/>
      <c r="T919" s="6"/>
      <c r="U919" s="28" t="str">
        <f>HYPERLINK("https://media.infra-m.ru/1910/1910639/cover/1910639.jpg", "Обложка")</f>
        <v>Обложка</v>
      </c>
      <c r="V919" s="28" t="str">
        <f>HYPERLINK("https://znanium.com/catalog/product/1910639", "Ознакомиться")</f>
        <v>Ознакомиться</v>
      </c>
      <c r="W919" s="8"/>
      <c r="X919" s="6" t="s">
        <v>645</v>
      </c>
      <c r="Y919" s="6"/>
      <c r="Z919" s="6"/>
      <c r="AA919" s="6" t="s">
        <v>408</v>
      </c>
    </row>
    <row r="920" spans="1:27" s="4" customFormat="1" ht="42" customHeight="1">
      <c r="A920" s="5">
        <v>0</v>
      </c>
      <c r="B920" s="6" t="s">
        <v>5101</v>
      </c>
      <c r="C920" s="13">
        <v>1194</v>
      </c>
      <c r="D920" s="8" t="s">
        <v>5102</v>
      </c>
      <c r="E920" s="8" t="s">
        <v>5103</v>
      </c>
      <c r="F920" s="8" t="s">
        <v>5104</v>
      </c>
      <c r="G920" s="6" t="s">
        <v>58</v>
      </c>
      <c r="H920" s="6" t="s">
        <v>38</v>
      </c>
      <c r="I920" s="8"/>
      <c r="J920" s="9">
        <v>1</v>
      </c>
      <c r="K920" s="9">
        <v>264</v>
      </c>
      <c r="L920" s="9">
        <v>2023</v>
      </c>
      <c r="M920" s="8" t="s">
        <v>5105</v>
      </c>
      <c r="N920" s="8" t="s">
        <v>40</v>
      </c>
      <c r="O920" s="8" t="s">
        <v>41</v>
      </c>
      <c r="P920" s="6" t="s">
        <v>42</v>
      </c>
      <c r="Q920" s="8" t="s">
        <v>43</v>
      </c>
      <c r="R920" s="10" t="s">
        <v>1339</v>
      </c>
      <c r="S920" s="11"/>
      <c r="T920" s="6"/>
      <c r="U920" s="28" t="str">
        <f>HYPERLINK("https://media.infra-m.ru/1993/1993582/cover/1993582.jpg", "Обложка")</f>
        <v>Обложка</v>
      </c>
      <c r="V920" s="28" t="str">
        <f>HYPERLINK("https://znanium.com/catalog/product/1145272", "Ознакомиться")</f>
        <v>Ознакомиться</v>
      </c>
      <c r="W920" s="8" t="s">
        <v>78</v>
      </c>
      <c r="X920" s="6"/>
      <c r="Y920" s="6"/>
      <c r="Z920" s="6"/>
      <c r="AA920" s="6" t="s">
        <v>115</v>
      </c>
    </row>
    <row r="921" spans="1:27" s="4" customFormat="1" ht="42" customHeight="1">
      <c r="A921" s="5">
        <v>0</v>
      </c>
      <c r="B921" s="6" t="s">
        <v>5106</v>
      </c>
      <c r="C921" s="7">
        <v>934.9</v>
      </c>
      <c r="D921" s="8" t="s">
        <v>5107</v>
      </c>
      <c r="E921" s="8" t="s">
        <v>5108</v>
      </c>
      <c r="F921" s="8" t="s">
        <v>5109</v>
      </c>
      <c r="G921" s="6" t="s">
        <v>51</v>
      </c>
      <c r="H921" s="6" t="s">
        <v>84</v>
      </c>
      <c r="I921" s="8" t="s">
        <v>251</v>
      </c>
      <c r="J921" s="9">
        <v>1</v>
      </c>
      <c r="K921" s="9">
        <v>207</v>
      </c>
      <c r="L921" s="9">
        <v>2023</v>
      </c>
      <c r="M921" s="8" t="s">
        <v>5110</v>
      </c>
      <c r="N921" s="8" t="s">
        <v>40</v>
      </c>
      <c r="O921" s="8" t="s">
        <v>41</v>
      </c>
      <c r="P921" s="6" t="s">
        <v>42</v>
      </c>
      <c r="Q921" s="8" t="s">
        <v>43</v>
      </c>
      <c r="R921" s="10" t="s">
        <v>1339</v>
      </c>
      <c r="S921" s="11"/>
      <c r="T921" s="6"/>
      <c r="U921" s="28" t="str">
        <f>HYPERLINK("https://media.infra-m.ru/2030/2030889/cover/2030889.jpg", "Обложка")</f>
        <v>Обложка</v>
      </c>
      <c r="V921" s="28" t="str">
        <f>HYPERLINK("https://znanium.com/catalog/product/1004280", "Ознакомиться")</f>
        <v>Ознакомиться</v>
      </c>
      <c r="W921" s="8" t="s">
        <v>114</v>
      </c>
      <c r="X921" s="6"/>
      <c r="Y921" s="6"/>
      <c r="Z921" s="6"/>
      <c r="AA921" s="6" t="s">
        <v>115</v>
      </c>
    </row>
    <row r="922" spans="1:27" s="4" customFormat="1" ht="42" customHeight="1">
      <c r="A922" s="5">
        <v>0</v>
      </c>
      <c r="B922" s="6" t="s">
        <v>5111</v>
      </c>
      <c r="C922" s="13">
        <v>1330</v>
      </c>
      <c r="D922" s="8" t="s">
        <v>5112</v>
      </c>
      <c r="E922" s="8" t="s">
        <v>5113</v>
      </c>
      <c r="F922" s="8" t="s">
        <v>5114</v>
      </c>
      <c r="G922" s="6" t="s">
        <v>51</v>
      </c>
      <c r="H922" s="6" t="s">
        <v>84</v>
      </c>
      <c r="I922" s="8" t="s">
        <v>85</v>
      </c>
      <c r="J922" s="9">
        <v>1</v>
      </c>
      <c r="K922" s="9">
        <v>280</v>
      </c>
      <c r="L922" s="9">
        <v>2023</v>
      </c>
      <c r="M922" s="8" t="s">
        <v>5115</v>
      </c>
      <c r="N922" s="8" t="s">
        <v>40</v>
      </c>
      <c r="O922" s="8" t="s">
        <v>41</v>
      </c>
      <c r="P922" s="6" t="s">
        <v>42</v>
      </c>
      <c r="Q922" s="8" t="s">
        <v>43</v>
      </c>
      <c r="R922" s="10" t="s">
        <v>69</v>
      </c>
      <c r="S922" s="11"/>
      <c r="T922" s="6"/>
      <c r="U922" s="28" t="str">
        <f>HYPERLINK("https://media.infra-m.ru/1898/1898829/cover/1898829.jpg", "Обложка")</f>
        <v>Обложка</v>
      </c>
      <c r="V922" s="28" t="str">
        <f>HYPERLINK("https://znanium.com/catalog/product/1081881", "Ознакомиться")</f>
        <v>Ознакомиться</v>
      </c>
      <c r="W922" s="8" t="s">
        <v>45</v>
      </c>
      <c r="X922" s="6"/>
      <c r="Y922" s="6"/>
      <c r="Z922" s="6"/>
      <c r="AA922" s="6" t="s">
        <v>422</v>
      </c>
    </row>
    <row r="923" spans="1:27" s="4" customFormat="1" ht="42" customHeight="1">
      <c r="A923" s="5">
        <v>0</v>
      </c>
      <c r="B923" s="6" t="s">
        <v>5116</v>
      </c>
      <c r="C923" s="13">
        <v>1394.9</v>
      </c>
      <c r="D923" s="8" t="s">
        <v>5117</v>
      </c>
      <c r="E923" s="8" t="s">
        <v>5118</v>
      </c>
      <c r="F923" s="8" t="s">
        <v>5119</v>
      </c>
      <c r="G923" s="6" t="s">
        <v>58</v>
      </c>
      <c r="H923" s="6" t="s">
        <v>84</v>
      </c>
      <c r="I923" s="8" t="s">
        <v>251</v>
      </c>
      <c r="J923" s="9">
        <v>1</v>
      </c>
      <c r="K923" s="9">
        <v>309</v>
      </c>
      <c r="L923" s="9">
        <v>2023</v>
      </c>
      <c r="M923" s="8" t="s">
        <v>5120</v>
      </c>
      <c r="N923" s="8" t="s">
        <v>40</v>
      </c>
      <c r="O923" s="8" t="s">
        <v>41</v>
      </c>
      <c r="P923" s="6" t="s">
        <v>42</v>
      </c>
      <c r="Q923" s="8" t="s">
        <v>43</v>
      </c>
      <c r="R923" s="10" t="s">
        <v>69</v>
      </c>
      <c r="S923" s="11"/>
      <c r="T923" s="6"/>
      <c r="U923" s="28" t="str">
        <f>HYPERLINK("https://media.infra-m.ru/2030/2030881/cover/2030881.jpg", "Обложка")</f>
        <v>Обложка</v>
      </c>
      <c r="V923" s="28" t="str">
        <f>HYPERLINK("https://znanium.com/catalog/product/1150954", "Ознакомиться")</f>
        <v>Ознакомиться</v>
      </c>
      <c r="W923" s="8" t="s">
        <v>124</v>
      </c>
      <c r="X923" s="6"/>
      <c r="Y923" s="6"/>
      <c r="Z923" s="6"/>
      <c r="AA923" s="6" t="s">
        <v>79</v>
      </c>
    </row>
    <row r="924" spans="1:27" s="4" customFormat="1" ht="44.1" customHeight="1">
      <c r="A924" s="5">
        <v>0</v>
      </c>
      <c r="B924" s="6" t="s">
        <v>5121</v>
      </c>
      <c r="C924" s="7">
        <v>334.9</v>
      </c>
      <c r="D924" s="8" t="s">
        <v>5122</v>
      </c>
      <c r="E924" s="8" t="s">
        <v>5123</v>
      </c>
      <c r="F924" s="8" t="s">
        <v>5124</v>
      </c>
      <c r="G924" s="6" t="s">
        <v>51</v>
      </c>
      <c r="H924" s="6" t="s">
        <v>38</v>
      </c>
      <c r="I924" s="8"/>
      <c r="J924" s="9">
        <v>1</v>
      </c>
      <c r="K924" s="9">
        <v>96</v>
      </c>
      <c r="L924" s="9">
        <v>2019</v>
      </c>
      <c r="M924" s="8" t="s">
        <v>5125</v>
      </c>
      <c r="N924" s="8" t="s">
        <v>40</v>
      </c>
      <c r="O924" s="8" t="s">
        <v>41</v>
      </c>
      <c r="P924" s="6" t="s">
        <v>42</v>
      </c>
      <c r="Q924" s="8" t="s">
        <v>296</v>
      </c>
      <c r="R924" s="10" t="s">
        <v>304</v>
      </c>
      <c r="S924" s="11"/>
      <c r="T924" s="6"/>
      <c r="U924" s="28" t="str">
        <f>HYPERLINK("https://media.infra-m.ru/0990/0990408/cover/990408.jpg", "Обложка")</f>
        <v>Обложка</v>
      </c>
      <c r="V924" s="28" t="str">
        <f>HYPERLINK("https://znanium.com/catalog/product/990408", "Ознакомиться")</f>
        <v>Ознакомиться</v>
      </c>
      <c r="W924" s="8" t="s">
        <v>3352</v>
      </c>
      <c r="X924" s="6"/>
      <c r="Y924" s="6"/>
      <c r="Z924" s="6"/>
      <c r="AA924" s="6" t="s">
        <v>88</v>
      </c>
    </row>
    <row r="925" spans="1:27" s="4" customFormat="1" ht="51.95" customHeight="1">
      <c r="A925" s="5">
        <v>0</v>
      </c>
      <c r="B925" s="6" t="s">
        <v>5126</v>
      </c>
      <c r="C925" s="7">
        <v>794.9</v>
      </c>
      <c r="D925" s="8" t="s">
        <v>5127</v>
      </c>
      <c r="E925" s="8" t="s">
        <v>5128</v>
      </c>
      <c r="F925" s="8" t="s">
        <v>5129</v>
      </c>
      <c r="G925" s="6" t="s">
        <v>51</v>
      </c>
      <c r="H925" s="6" t="s">
        <v>84</v>
      </c>
      <c r="I925" s="8" t="s">
        <v>251</v>
      </c>
      <c r="J925" s="9">
        <v>1</v>
      </c>
      <c r="K925" s="9">
        <v>177</v>
      </c>
      <c r="L925" s="9">
        <v>2023</v>
      </c>
      <c r="M925" s="8" t="s">
        <v>5130</v>
      </c>
      <c r="N925" s="8" t="s">
        <v>40</v>
      </c>
      <c r="O925" s="8" t="s">
        <v>41</v>
      </c>
      <c r="P925" s="6" t="s">
        <v>42</v>
      </c>
      <c r="Q925" s="8" t="s">
        <v>43</v>
      </c>
      <c r="R925" s="10" t="s">
        <v>5131</v>
      </c>
      <c r="S925" s="11"/>
      <c r="T925" s="6"/>
      <c r="U925" s="28" t="str">
        <f>HYPERLINK("https://media.infra-m.ru/2006/2006945/cover/2006945.jpg", "Обложка")</f>
        <v>Обложка</v>
      </c>
      <c r="V925" s="28" t="str">
        <f>HYPERLINK("https://znanium.com/catalog/product/1068173", "Ознакомиться")</f>
        <v>Ознакомиться</v>
      </c>
      <c r="W925" s="8" t="s">
        <v>375</v>
      </c>
      <c r="X925" s="6"/>
      <c r="Y925" s="6"/>
      <c r="Z925" s="6"/>
      <c r="AA925" s="6" t="s">
        <v>79</v>
      </c>
    </row>
    <row r="926" spans="1:27" s="4" customFormat="1" ht="51.95" customHeight="1">
      <c r="A926" s="5">
        <v>0</v>
      </c>
      <c r="B926" s="6" t="s">
        <v>5132</v>
      </c>
      <c r="C926" s="7">
        <v>970</v>
      </c>
      <c r="D926" s="8" t="s">
        <v>5133</v>
      </c>
      <c r="E926" s="8" t="s">
        <v>5134</v>
      </c>
      <c r="F926" s="8" t="s">
        <v>5135</v>
      </c>
      <c r="G926" s="6" t="s">
        <v>37</v>
      </c>
      <c r="H926" s="6" t="s">
        <v>38</v>
      </c>
      <c r="I926" s="8"/>
      <c r="J926" s="9">
        <v>1</v>
      </c>
      <c r="K926" s="9">
        <v>208</v>
      </c>
      <c r="L926" s="9">
        <v>2023</v>
      </c>
      <c r="M926" s="8" t="s">
        <v>5136</v>
      </c>
      <c r="N926" s="8" t="s">
        <v>40</v>
      </c>
      <c r="O926" s="8" t="s">
        <v>41</v>
      </c>
      <c r="P926" s="6" t="s">
        <v>75</v>
      </c>
      <c r="Q926" s="8" t="s">
        <v>76</v>
      </c>
      <c r="R926" s="10" t="s">
        <v>235</v>
      </c>
      <c r="S926" s="11" t="s">
        <v>5137</v>
      </c>
      <c r="T926" s="6"/>
      <c r="U926" s="28" t="str">
        <f>HYPERLINK("https://media.infra-m.ru/2051/2051311/cover/2051311.jpg", "Обложка")</f>
        <v>Обложка</v>
      </c>
      <c r="V926" s="28" t="str">
        <f>HYPERLINK("https://znanium.com/catalog/product/2018257", "Ознакомиться")</f>
        <v>Ознакомиться</v>
      </c>
      <c r="W926" s="8" t="s">
        <v>5138</v>
      </c>
      <c r="X926" s="6"/>
      <c r="Y926" s="6"/>
      <c r="Z926" s="6"/>
      <c r="AA926" s="6" t="s">
        <v>1227</v>
      </c>
    </row>
    <row r="927" spans="1:27" s="4" customFormat="1" ht="51.95" customHeight="1">
      <c r="A927" s="5">
        <v>0</v>
      </c>
      <c r="B927" s="6" t="s">
        <v>5139</v>
      </c>
      <c r="C927" s="7">
        <v>670</v>
      </c>
      <c r="D927" s="8" t="s">
        <v>5140</v>
      </c>
      <c r="E927" s="8" t="s">
        <v>5141</v>
      </c>
      <c r="F927" s="8" t="s">
        <v>5135</v>
      </c>
      <c r="G927" s="6" t="s">
        <v>51</v>
      </c>
      <c r="H927" s="6" t="s">
        <v>38</v>
      </c>
      <c r="I927" s="8"/>
      <c r="J927" s="9">
        <v>1</v>
      </c>
      <c r="K927" s="9">
        <v>208</v>
      </c>
      <c r="L927" s="9">
        <v>2018</v>
      </c>
      <c r="M927" s="8" t="s">
        <v>5142</v>
      </c>
      <c r="N927" s="8" t="s">
        <v>40</v>
      </c>
      <c r="O927" s="8" t="s">
        <v>41</v>
      </c>
      <c r="P927" s="6" t="s">
        <v>75</v>
      </c>
      <c r="Q927" s="8" t="s">
        <v>76</v>
      </c>
      <c r="R927" s="10" t="s">
        <v>235</v>
      </c>
      <c r="S927" s="11" t="s">
        <v>5137</v>
      </c>
      <c r="T927" s="6"/>
      <c r="U927" s="28" t="str">
        <f>HYPERLINK("https://media.infra-m.ru/1029/1029221/cover/1029221.jpg", "Обложка")</f>
        <v>Обложка</v>
      </c>
      <c r="V927" s="28" t="str">
        <f>HYPERLINK("https://znanium.com/catalog/product/2018257", "Ознакомиться")</f>
        <v>Ознакомиться</v>
      </c>
      <c r="W927" s="8" t="s">
        <v>5138</v>
      </c>
      <c r="X927" s="6"/>
      <c r="Y927" s="6"/>
      <c r="Z927" s="6"/>
      <c r="AA927" s="6" t="s">
        <v>2582</v>
      </c>
    </row>
    <row r="928" spans="1:27" s="4" customFormat="1" ht="42" customHeight="1">
      <c r="A928" s="5">
        <v>0</v>
      </c>
      <c r="B928" s="6" t="s">
        <v>5143</v>
      </c>
      <c r="C928" s="7">
        <v>860</v>
      </c>
      <c r="D928" s="8" t="s">
        <v>5144</v>
      </c>
      <c r="E928" s="8" t="s">
        <v>5145</v>
      </c>
      <c r="F928" s="8" t="s">
        <v>5146</v>
      </c>
      <c r="G928" s="6" t="s">
        <v>58</v>
      </c>
      <c r="H928" s="6" t="s">
        <v>84</v>
      </c>
      <c r="I928" s="8" t="s">
        <v>251</v>
      </c>
      <c r="J928" s="14">
        <v>0</v>
      </c>
      <c r="K928" s="9">
        <v>252</v>
      </c>
      <c r="L928" s="9">
        <v>2019</v>
      </c>
      <c r="M928" s="8" t="s">
        <v>5147</v>
      </c>
      <c r="N928" s="8" t="s">
        <v>40</v>
      </c>
      <c r="O928" s="8" t="s">
        <v>41</v>
      </c>
      <c r="P928" s="6" t="s">
        <v>42</v>
      </c>
      <c r="Q928" s="8" t="s">
        <v>43</v>
      </c>
      <c r="R928" s="10" t="s">
        <v>5148</v>
      </c>
      <c r="S928" s="11"/>
      <c r="T928" s="6"/>
      <c r="U928" s="28" t="str">
        <f>HYPERLINK("https://media.infra-m.ru/0993/0993455/cover/993455.jpg", "Обложка")</f>
        <v>Обложка</v>
      </c>
      <c r="V928" s="28" t="str">
        <f>HYPERLINK("https://znanium.com/catalog/product/993455", "Ознакомиться")</f>
        <v>Ознакомиться</v>
      </c>
      <c r="W928" s="8" t="s">
        <v>107</v>
      </c>
      <c r="X928" s="6"/>
      <c r="Y928" s="6"/>
      <c r="Z928" s="6"/>
      <c r="AA928" s="6" t="s">
        <v>79</v>
      </c>
    </row>
    <row r="929" spans="1:27" s="4" customFormat="1" ht="51.95" customHeight="1">
      <c r="A929" s="5">
        <v>0</v>
      </c>
      <c r="B929" s="6" t="s">
        <v>5149</v>
      </c>
      <c r="C929" s="7">
        <v>900</v>
      </c>
      <c r="D929" s="8" t="s">
        <v>5150</v>
      </c>
      <c r="E929" s="8" t="s">
        <v>5151</v>
      </c>
      <c r="F929" s="8" t="s">
        <v>5152</v>
      </c>
      <c r="G929" s="6" t="s">
        <v>37</v>
      </c>
      <c r="H929" s="6" t="s">
        <v>5153</v>
      </c>
      <c r="I929" s="8" t="s">
        <v>5154</v>
      </c>
      <c r="J929" s="9">
        <v>1</v>
      </c>
      <c r="K929" s="9">
        <v>192</v>
      </c>
      <c r="L929" s="9">
        <v>2019</v>
      </c>
      <c r="M929" s="8" t="s">
        <v>5155</v>
      </c>
      <c r="N929" s="8" t="s">
        <v>40</v>
      </c>
      <c r="O929" s="8" t="s">
        <v>41</v>
      </c>
      <c r="P929" s="6" t="s">
        <v>95</v>
      </c>
      <c r="Q929" s="8" t="s">
        <v>76</v>
      </c>
      <c r="R929" s="10" t="s">
        <v>5156</v>
      </c>
      <c r="S929" s="11"/>
      <c r="T929" s="6"/>
      <c r="U929" s="28" t="str">
        <f>HYPERLINK("https://media.infra-m.ru/1945/1945302/cover/1945302.jpg", "Обложка")</f>
        <v>Обложка</v>
      </c>
      <c r="V929" s="28" t="str">
        <f>HYPERLINK("https://znanium.com/catalog/product/1002558", "Ознакомиться")</f>
        <v>Ознакомиться</v>
      </c>
      <c r="W929" s="8" t="s">
        <v>195</v>
      </c>
      <c r="X929" s="6"/>
      <c r="Y929" s="6"/>
      <c r="Z929" s="6"/>
      <c r="AA929" s="6" t="s">
        <v>88</v>
      </c>
    </row>
    <row r="930" spans="1:27" s="4" customFormat="1" ht="42" customHeight="1">
      <c r="A930" s="5">
        <v>0</v>
      </c>
      <c r="B930" s="6" t="s">
        <v>5157</v>
      </c>
      <c r="C930" s="7">
        <v>390</v>
      </c>
      <c r="D930" s="8" t="s">
        <v>5158</v>
      </c>
      <c r="E930" s="8" t="s">
        <v>5159</v>
      </c>
      <c r="F930" s="8" t="s">
        <v>5160</v>
      </c>
      <c r="G930" s="6" t="s">
        <v>51</v>
      </c>
      <c r="H930" s="6" t="s">
        <v>84</v>
      </c>
      <c r="I930" s="8" t="s">
        <v>251</v>
      </c>
      <c r="J930" s="9">
        <v>1</v>
      </c>
      <c r="K930" s="9">
        <v>124</v>
      </c>
      <c r="L930" s="9">
        <v>2018</v>
      </c>
      <c r="M930" s="8" t="s">
        <v>5161</v>
      </c>
      <c r="N930" s="8" t="s">
        <v>40</v>
      </c>
      <c r="O930" s="8" t="s">
        <v>41</v>
      </c>
      <c r="P930" s="6" t="s">
        <v>42</v>
      </c>
      <c r="Q930" s="8" t="s">
        <v>43</v>
      </c>
      <c r="R930" s="10" t="s">
        <v>310</v>
      </c>
      <c r="S930" s="11"/>
      <c r="T930" s="6"/>
      <c r="U930" s="28" t="str">
        <f>HYPERLINK("https://media.infra-m.ru/0918/0918471/cover/918471.jpg", "Обложка")</f>
        <v>Обложка</v>
      </c>
      <c r="V930" s="28" t="str">
        <f>HYPERLINK("https://znanium.com/catalog/product/918471", "Ознакомиться")</f>
        <v>Ознакомиться</v>
      </c>
      <c r="W930" s="8" t="s">
        <v>5162</v>
      </c>
      <c r="X930" s="6"/>
      <c r="Y930" s="6"/>
      <c r="Z930" s="6"/>
      <c r="AA930" s="6" t="s">
        <v>415</v>
      </c>
    </row>
    <row r="931" spans="1:27" s="4" customFormat="1" ht="42" customHeight="1">
      <c r="A931" s="5">
        <v>0</v>
      </c>
      <c r="B931" s="6" t="s">
        <v>5163</v>
      </c>
      <c r="C931" s="13">
        <v>1110</v>
      </c>
      <c r="D931" s="8" t="s">
        <v>5164</v>
      </c>
      <c r="E931" s="8" t="s">
        <v>5165</v>
      </c>
      <c r="F931" s="8" t="s">
        <v>5166</v>
      </c>
      <c r="G931" s="6" t="s">
        <v>58</v>
      </c>
      <c r="H931" s="6" t="s">
        <v>84</v>
      </c>
      <c r="I931" s="8" t="s">
        <v>185</v>
      </c>
      <c r="J931" s="9">
        <v>1</v>
      </c>
      <c r="K931" s="9">
        <v>237</v>
      </c>
      <c r="L931" s="9">
        <v>2023</v>
      </c>
      <c r="M931" s="8" t="s">
        <v>5167</v>
      </c>
      <c r="N931" s="8" t="s">
        <v>40</v>
      </c>
      <c r="O931" s="8" t="s">
        <v>41</v>
      </c>
      <c r="P931" s="6" t="s">
        <v>75</v>
      </c>
      <c r="Q931" s="8" t="s">
        <v>76</v>
      </c>
      <c r="R931" s="10" t="s">
        <v>5168</v>
      </c>
      <c r="S931" s="11"/>
      <c r="T931" s="6"/>
      <c r="U931" s="28" t="str">
        <f>HYPERLINK("https://media.infra-m.ru/1882/1882573/cover/1882573.jpg", "Обложка")</f>
        <v>Обложка</v>
      </c>
      <c r="V931" s="28" t="str">
        <f>HYPERLINK("https://znanium.com/catalog/product/1882573", "Ознакомиться")</f>
        <v>Ознакомиться</v>
      </c>
      <c r="W931" s="8" t="s">
        <v>2900</v>
      </c>
      <c r="X931" s="6" t="s">
        <v>4301</v>
      </c>
      <c r="Y931" s="6"/>
      <c r="Z931" s="6"/>
      <c r="AA931" s="6" t="s">
        <v>408</v>
      </c>
    </row>
    <row r="932" spans="1:27" s="4" customFormat="1" ht="51.95" customHeight="1">
      <c r="A932" s="5">
        <v>0</v>
      </c>
      <c r="B932" s="6" t="s">
        <v>5169</v>
      </c>
      <c r="C932" s="7">
        <v>970</v>
      </c>
      <c r="D932" s="8" t="s">
        <v>5170</v>
      </c>
      <c r="E932" s="8" t="s">
        <v>5171</v>
      </c>
      <c r="F932" s="8" t="s">
        <v>5172</v>
      </c>
      <c r="G932" s="6" t="s">
        <v>51</v>
      </c>
      <c r="H932" s="6" t="s">
        <v>84</v>
      </c>
      <c r="I932" s="8" t="s">
        <v>251</v>
      </c>
      <c r="J932" s="9">
        <v>1</v>
      </c>
      <c r="K932" s="9">
        <v>230</v>
      </c>
      <c r="L932" s="9">
        <v>2022</v>
      </c>
      <c r="M932" s="8" t="s">
        <v>5173</v>
      </c>
      <c r="N932" s="8" t="s">
        <v>40</v>
      </c>
      <c r="O932" s="8" t="s">
        <v>41</v>
      </c>
      <c r="P932" s="6" t="s">
        <v>42</v>
      </c>
      <c r="Q932" s="8" t="s">
        <v>43</v>
      </c>
      <c r="R932" s="10" t="s">
        <v>931</v>
      </c>
      <c r="S932" s="11"/>
      <c r="T932" s="6"/>
      <c r="U932" s="28" t="str">
        <f>HYPERLINK("https://media.infra-m.ru/1862/1862596/cover/1862596.jpg", "Обложка")</f>
        <v>Обложка</v>
      </c>
      <c r="V932" s="28" t="str">
        <f>HYPERLINK("https://znanium.com/catalog/product/1862596", "Ознакомиться")</f>
        <v>Ознакомиться</v>
      </c>
      <c r="W932" s="8" t="s">
        <v>903</v>
      </c>
      <c r="X932" s="6"/>
      <c r="Y932" s="6"/>
      <c r="Z932" s="6"/>
      <c r="AA932" s="6" t="s">
        <v>343</v>
      </c>
    </row>
    <row r="933" spans="1:27" s="4" customFormat="1" ht="42" customHeight="1">
      <c r="A933" s="5">
        <v>0</v>
      </c>
      <c r="B933" s="6" t="s">
        <v>5174</v>
      </c>
      <c r="C933" s="7">
        <v>900</v>
      </c>
      <c r="D933" s="8" t="s">
        <v>5175</v>
      </c>
      <c r="E933" s="8" t="s">
        <v>5176</v>
      </c>
      <c r="F933" s="8" t="s">
        <v>5177</v>
      </c>
      <c r="G933" s="6" t="s">
        <v>37</v>
      </c>
      <c r="H933" s="6" t="s">
        <v>84</v>
      </c>
      <c r="I933" s="8" t="s">
        <v>251</v>
      </c>
      <c r="J933" s="9">
        <v>1</v>
      </c>
      <c r="K933" s="9">
        <v>199</v>
      </c>
      <c r="L933" s="9">
        <v>2022</v>
      </c>
      <c r="M933" s="8" t="s">
        <v>5178</v>
      </c>
      <c r="N933" s="8" t="s">
        <v>40</v>
      </c>
      <c r="O933" s="8" t="s">
        <v>41</v>
      </c>
      <c r="P933" s="6" t="s">
        <v>42</v>
      </c>
      <c r="Q933" s="8" t="s">
        <v>43</v>
      </c>
      <c r="R933" s="10" t="s">
        <v>5179</v>
      </c>
      <c r="S933" s="11"/>
      <c r="T933" s="6"/>
      <c r="U933" s="28" t="str">
        <f>HYPERLINK("https://media.infra-m.ru/1881/1881139/cover/1881139.jpg", "Обложка")</f>
        <v>Обложка</v>
      </c>
      <c r="V933" s="28" t="str">
        <f>HYPERLINK("https://znanium.com/catalog/product/1881139", "Ознакомиться")</f>
        <v>Ознакомиться</v>
      </c>
      <c r="W933" s="8" t="s">
        <v>45</v>
      </c>
      <c r="X933" s="6"/>
      <c r="Y933" s="6"/>
      <c r="Z933" s="6"/>
      <c r="AA933" s="6" t="s">
        <v>79</v>
      </c>
    </row>
    <row r="934" spans="1:27" s="4" customFormat="1" ht="44.1" customHeight="1">
      <c r="A934" s="5">
        <v>0</v>
      </c>
      <c r="B934" s="6" t="s">
        <v>5180</v>
      </c>
      <c r="C934" s="7">
        <v>630</v>
      </c>
      <c r="D934" s="8" t="s">
        <v>5181</v>
      </c>
      <c r="E934" s="8" t="s">
        <v>5182</v>
      </c>
      <c r="F934" s="8" t="s">
        <v>5183</v>
      </c>
      <c r="G934" s="6" t="s">
        <v>51</v>
      </c>
      <c r="H934" s="6" t="s">
        <v>84</v>
      </c>
      <c r="I934" s="8" t="s">
        <v>251</v>
      </c>
      <c r="J934" s="9">
        <v>1</v>
      </c>
      <c r="K934" s="9">
        <v>159</v>
      </c>
      <c r="L934" s="9">
        <v>2022</v>
      </c>
      <c r="M934" s="8" t="s">
        <v>5184</v>
      </c>
      <c r="N934" s="8" t="s">
        <v>40</v>
      </c>
      <c r="O934" s="8" t="s">
        <v>41</v>
      </c>
      <c r="P934" s="6" t="s">
        <v>42</v>
      </c>
      <c r="Q934" s="8" t="s">
        <v>43</v>
      </c>
      <c r="R934" s="10" t="s">
        <v>1383</v>
      </c>
      <c r="S934" s="11"/>
      <c r="T934" s="6"/>
      <c r="U934" s="28" t="str">
        <f>HYPERLINK("https://media.infra-m.ru/1864/1864114/cover/1864114.jpg", "Обложка")</f>
        <v>Обложка</v>
      </c>
      <c r="V934" s="28" t="str">
        <f>HYPERLINK("https://znanium.com/catalog/product/1864114", "Ознакомиться")</f>
        <v>Ознакомиться</v>
      </c>
      <c r="W934" s="8" t="s">
        <v>5185</v>
      </c>
      <c r="X934" s="6"/>
      <c r="Y934" s="6"/>
      <c r="Z934" s="6"/>
      <c r="AA934" s="6" t="s">
        <v>115</v>
      </c>
    </row>
    <row r="935" spans="1:27" s="4" customFormat="1" ht="51.95" customHeight="1">
      <c r="A935" s="5">
        <v>0</v>
      </c>
      <c r="B935" s="6" t="s">
        <v>5186</v>
      </c>
      <c r="C935" s="7">
        <v>380</v>
      </c>
      <c r="D935" s="8" t="s">
        <v>5187</v>
      </c>
      <c r="E935" s="8" t="s">
        <v>5188</v>
      </c>
      <c r="F935" s="8" t="s">
        <v>5189</v>
      </c>
      <c r="G935" s="6" t="s">
        <v>51</v>
      </c>
      <c r="H935" s="6" t="s">
        <v>84</v>
      </c>
      <c r="I935" s="8" t="s">
        <v>185</v>
      </c>
      <c r="J935" s="9">
        <v>1</v>
      </c>
      <c r="K935" s="9">
        <v>140</v>
      </c>
      <c r="L935" s="9">
        <v>2017</v>
      </c>
      <c r="M935" s="8" t="s">
        <v>5190</v>
      </c>
      <c r="N935" s="8" t="s">
        <v>40</v>
      </c>
      <c r="O935" s="8" t="s">
        <v>41</v>
      </c>
      <c r="P935" s="6" t="s">
        <v>75</v>
      </c>
      <c r="Q935" s="8" t="s">
        <v>76</v>
      </c>
      <c r="R935" s="10" t="s">
        <v>5191</v>
      </c>
      <c r="S935" s="11" t="s">
        <v>5192</v>
      </c>
      <c r="T935" s="6" t="s">
        <v>368</v>
      </c>
      <c r="U935" s="28" t="str">
        <f>HYPERLINK("https://media.infra-m.ru/0809/0809916/cover/809916.jpg", "Обложка")</f>
        <v>Обложка</v>
      </c>
      <c r="V935" s="28" t="str">
        <f>HYPERLINK("https://znanium.com/catalog/product/1938936", "Ознакомиться")</f>
        <v>Ознакомиться</v>
      </c>
      <c r="W935" s="8" t="s">
        <v>158</v>
      </c>
      <c r="X935" s="6"/>
      <c r="Y935" s="6"/>
      <c r="Z935" s="6"/>
      <c r="AA935" s="6" t="s">
        <v>148</v>
      </c>
    </row>
    <row r="936" spans="1:27" s="4" customFormat="1" ht="44.1" customHeight="1">
      <c r="A936" s="5">
        <v>0</v>
      </c>
      <c r="B936" s="6" t="s">
        <v>5193</v>
      </c>
      <c r="C936" s="13">
        <v>1920</v>
      </c>
      <c r="D936" s="8" t="s">
        <v>5194</v>
      </c>
      <c r="E936" s="8" t="s">
        <v>5195</v>
      </c>
      <c r="F936" s="8" t="s">
        <v>5196</v>
      </c>
      <c r="G936" s="6" t="s">
        <v>58</v>
      </c>
      <c r="H936" s="6" t="s">
        <v>84</v>
      </c>
      <c r="I936" s="8" t="s">
        <v>85</v>
      </c>
      <c r="J936" s="9">
        <v>1</v>
      </c>
      <c r="K936" s="9">
        <v>456</v>
      </c>
      <c r="L936" s="9">
        <v>2022</v>
      </c>
      <c r="M936" s="8" t="s">
        <v>5197</v>
      </c>
      <c r="N936" s="8" t="s">
        <v>40</v>
      </c>
      <c r="O936" s="8" t="s">
        <v>41</v>
      </c>
      <c r="P936" s="6" t="s">
        <v>42</v>
      </c>
      <c r="Q936" s="8" t="s">
        <v>43</v>
      </c>
      <c r="R936" s="10" t="s">
        <v>5198</v>
      </c>
      <c r="S936" s="11"/>
      <c r="T936" s="6"/>
      <c r="U936" s="28" t="str">
        <f>HYPERLINK("https://media.infra-m.ru/1867/1867001/cover/1867001.jpg", "Обложка")</f>
        <v>Обложка</v>
      </c>
      <c r="V936" s="28" t="str">
        <f>HYPERLINK("https://znanium.com/catalog/product/1905450", "Ознакомиться")</f>
        <v>Ознакомиться</v>
      </c>
      <c r="W936" s="8" t="s">
        <v>45</v>
      </c>
      <c r="X936" s="6"/>
      <c r="Y936" s="6"/>
      <c r="Z936" s="6"/>
      <c r="AA936" s="6" t="s">
        <v>343</v>
      </c>
    </row>
    <row r="937" spans="1:27" s="4" customFormat="1" ht="51.95" customHeight="1">
      <c r="A937" s="5">
        <v>0</v>
      </c>
      <c r="B937" s="6" t="s">
        <v>5199</v>
      </c>
      <c r="C937" s="7">
        <v>474.9</v>
      </c>
      <c r="D937" s="8" t="s">
        <v>5200</v>
      </c>
      <c r="E937" s="8" t="s">
        <v>5201</v>
      </c>
      <c r="F937" s="8" t="s">
        <v>4463</v>
      </c>
      <c r="G937" s="6" t="s">
        <v>51</v>
      </c>
      <c r="H937" s="6" t="s">
        <v>38</v>
      </c>
      <c r="I937" s="8"/>
      <c r="J937" s="9">
        <v>1</v>
      </c>
      <c r="K937" s="9">
        <v>176</v>
      </c>
      <c r="L937" s="9">
        <v>2017</v>
      </c>
      <c r="M937" s="8" t="s">
        <v>5202</v>
      </c>
      <c r="N937" s="8" t="s">
        <v>40</v>
      </c>
      <c r="O937" s="8" t="s">
        <v>41</v>
      </c>
      <c r="P937" s="6" t="s">
        <v>2805</v>
      </c>
      <c r="Q937" s="8" t="s">
        <v>43</v>
      </c>
      <c r="R937" s="10" t="s">
        <v>5203</v>
      </c>
      <c r="S937" s="11"/>
      <c r="T937" s="6"/>
      <c r="U937" s="28" t="str">
        <f>HYPERLINK("https://media.infra-m.ru/0814/0814523/cover/814523.jpg", "Обложка")</f>
        <v>Обложка</v>
      </c>
      <c r="V937" s="28" t="str">
        <f>HYPERLINK("https://znanium.com/catalog/product/496832", "Ознакомиться")</f>
        <v>Ознакомиться</v>
      </c>
      <c r="W937" s="8"/>
      <c r="X937" s="6"/>
      <c r="Y937" s="6"/>
      <c r="Z937" s="6"/>
      <c r="AA937" s="6" t="s">
        <v>298</v>
      </c>
    </row>
    <row r="938" spans="1:27" s="4" customFormat="1" ht="42" customHeight="1">
      <c r="A938" s="5">
        <v>0</v>
      </c>
      <c r="B938" s="6" t="s">
        <v>5204</v>
      </c>
      <c r="C938" s="13">
        <v>1084</v>
      </c>
      <c r="D938" s="8" t="s">
        <v>5205</v>
      </c>
      <c r="E938" s="8" t="s">
        <v>5206</v>
      </c>
      <c r="F938" s="8" t="s">
        <v>5207</v>
      </c>
      <c r="G938" s="6" t="s">
        <v>37</v>
      </c>
      <c r="H938" s="6" t="s">
        <v>38</v>
      </c>
      <c r="I938" s="8"/>
      <c r="J938" s="9">
        <v>1</v>
      </c>
      <c r="K938" s="9">
        <v>240</v>
      </c>
      <c r="L938" s="9">
        <v>2022</v>
      </c>
      <c r="M938" s="8" t="s">
        <v>5208</v>
      </c>
      <c r="N938" s="8" t="s">
        <v>40</v>
      </c>
      <c r="O938" s="8" t="s">
        <v>41</v>
      </c>
      <c r="P938" s="6" t="s">
        <v>42</v>
      </c>
      <c r="Q938" s="8" t="s">
        <v>43</v>
      </c>
      <c r="R938" s="10" t="s">
        <v>5209</v>
      </c>
      <c r="S938" s="11"/>
      <c r="T938" s="6"/>
      <c r="U938" s="28" t="str">
        <f>HYPERLINK("https://media.infra-m.ru/2089/2089267/cover/2089267.jpg", "Обложка")</f>
        <v>Обложка</v>
      </c>
      <c r="V938" s="28" t="str">
        <f>HYPERLINK("https://znanium.com/catalog/product/1856796", "Ознакомиться")</f>
        <v>Ознакомиться</v>
      </c>
      <c r="W938" s="8" t="s">
        <v>45</v>
      </c>
      <c r="X938" s="6"/>
      <c r="Y938" s="6"/>
      <c r="Z938" s="6"/>
      <c r="AA938" s="6" t="s">
        <v>79</v>
      </c>
    </row>
    <row r="939" spans="1:27" s="4" customFormat="1" ht="51.95" customHeight="1">
      <c r="A939" s="5">
        <v>0</v>
      </c>
      <c r="B939" s="6" t="s">
        <v>5210</v>
      </c>
      <c r="C939" s="13">
        <v>1550</v>
      </c>
      <c r="D939" s="8" t="s">
        <v>5211</v>
      </c>
      <c r="E939" s="8" t="s">
        <v>5212</v>
      </c>
      <c r="F939" s="8" t="s">
        <v>5213</v>
      </c>
      <c r="G939" s="6" t="s">
        <v>37</v>
      </c>
      <c r="H939" s="6" t="s">
        <v>84</v>
      </c>
      <c r="I939" s="8" t="s">
        <v>85</v>
      </c>
      <c r="J939" s="9">
        <v>1</v>
      </c>
      <c r="K939" s="9">
        <v>342</v>
      </c>
      <c r="L939" s="9">
        <v>2023</v>
      </c>
      <c r="M939" s="8" t="s">
        <v>5214</v>
      </c>
      <c r="N939" s="8" t="s">
        <v>40</v>
      </c>
      <c r="O939" s="8" t="s">
        <v>41</v>
      </c>
      <c r="P939" s="6" t="s">
        <v>811</v>
      </c>
      <c r="Q939" s="8" t="s">
        <v>43</v>
      </c>
      <c r="R939" s="10" t="s">
        <v>5215</v>
      </c>
      <c r="S939" s="11"/>
      <c r="T939" s="6"/>
      <c r="U939" s="28" t="str">
        <f>HYPERLINK("https://media.infra-m.ru/1970/1970669/cover/1970669.jpg", "Обложка")</f>
        <v>Обложка</v>
      </c>
      <c r="V939" s="28" t="str">
        <f>HYPERLINK("https://znanium.com/catalog/product/1970669", "Ознакомиться")</f>
        <v>Ознакомиться</v>
      </c>
      <c r="W939" s="8" t="s">
        <v>535</v>
      </c>
      <c r="X939" s="6"/>
      <c r="Y939" s="6"/>
      <c r="Z939" s="6"/>
      <c r="AA939" s="6" t="s">
        <v>415</v>
      </c>
    </row>
    <row r="940" spans="1:27" s="4" customFormat="1" ht="51.95" customHeight="1">
      <c r="A940" s="5">
        <v>0</v>
      </c>
      <c r="B940" s="6" t="s">
        <v>5216</v>
      </c>
      <c r="C940" s="13">
        <v>1844</v>
      </c>
      <c r="D940" s="8" t="s">
        <v>5217</v>
      </c>
      <c r="E940" s="8" t="s">
        <v>5218</v>
      </c>
      <c r="F940" s="8" t="s">
        <v>5219</v>
      </c>
      <c r="G940" s="6" t="s">
        <v>51</v>
      </c>
      <c r="H940" s="6" t="s">
        <v>38</v>
      </c>
      <c r="I940" s="8"/>
      <c r="J940" s="9">
        <v>1</v>
      </c>
      <c r="K940" s="9">
        <v>400</v>
      </c>
      <c r="L940" s="9">
        <v>2023</v>
      </c>
      <c r="M940" s="8" t="s">
        <v>5220</v>
      </c>
      <c r="N940" s="8" t="s">
        <v>40</v>
      </c>
      <c r="O940" s="8" t="s">
        <v>41</v>
      </c>
      <c r="P940" s="6" t="s">
        <v>42</v>
      </c>
      <c r="Q940" s="8" t="s">
        <v>43</v>
      </c>
      <c r="R940" s="10" t="s">
        <v>5221</v>
      </c>
      <c r="S940" s="11"/>
      <c r="T940" s="6"/>
      <c r="U940" s="28" t="str">
        <f>HYPERLINK("https://media.infra-m.ru/1895/1895620/cover/1895620.jpg", "Обложка")</f>
        <v>Обложка</v>
      </c>
      <c r="V940" s="28" t="str">
        <f>HYPERLINK("https://znanium.com/catalog/product/1227508", "Ознакомиться")</f>
        <v>Ознакомиться</v>
      </c>
      <c r="W940" s="8" t="s">
        <v>5222</v>
      </c>
      <c r="X940" s="6"/>
      <c r="Y940" s="6"/>
      <c r="Z940" s="6"/>
      <c r="AA940" s="6" t="s">
        <v>415</v>
      </c>
    </row>
    <row r="941" spans="1:27" s="4" customFormat="1" ht="42" customHeight="1">
      <c r="A941" s="5">
        <v>0</v>
      </c>
      <c r="B941" s="6" t="s">
        <v>5223</v>
      </c>
      <c r="C941" s="13">
        <v>2320</v>
      </c>
      <c r="D941" s="8" t="s">
        <v>5224</v>
      </c>
      <c r="E941" s="8" t="s">
        <v>5225</v>
      </c>
      <c r="F941" s="8" t="s">
        <v>5226</v>
      </c>
      <c r="G941" s="6" t="s">
        <v>37</v>
      </c>
      <c r="H941" s="6" t="s">
        <v>38</v>
      </c>
      <c r="I941" s="8"/>
      <c r="J941" s="9">
        <v>1</v>
      </c>
      <c r="K941" s="9">
        <v>688</v>
      </c>
      <c r="L941" s="9">
        <v>2022</v>
      </c>
      <c r="M941" s="8" t="s">
        <v>5227</v>
      </c>
      <c r="N941" s="8" t="s">
        <v>40</v>
      </c>
      <c r="O941" s="8" t="s">
        <v>41</v>
      </c>
      <c r="P941" s="6" t="s">
        <v>42</v>
      </c>
      <c r="Q941" s="8" t="s">
        <v>43</v>
      </c>
      <c r="R941" s="10" t="s">
        <v>1339</v>
      </c>
      <c r="S941" s="11"/>
      <c r="T941" s="6"/>
      <c r="U941" s="28" t="str">
        <f>HYPERLINK("https://media.infra-m.ru/1864/1864115/cover/1864115.jpg", "Обложка")</f>
        <v>Обложка</v>
      </c>
      <c r="V941" s="12"/>
      <c r="W941" s="8" t="s">
        <v>712</v>
      </c>
      <c r="X941" s="6"/>
      <c r="Y941" s="6"/>
      <c r="Z941" s="6"/>
      <c r="AA941" s="6" t="s">
        <v>115</v>
      </c>
    </row>
    <row r="942" spans="1:27" s="4" customFormat="1" ht="42" customHeight="1">
      <c r="A942" s="5">
        <v>0</v>
      </c>
      <c r="B942" s="6" t="s">
        <v>5228</v>
      </c>
      <c r="C942" s="13">
        <v>2475</v>
      </c>
      <c r="D942" s="8" t="s">
        <v>5229</v>
      </c>
      <c r="E942" s="8" t="s">
        <v>5230</v>
      </c>
      <c r="F942" s="8" t="s">
        <v>5226</v>
      </c>
      <c r="G942" s="6" t="s">
        <v>58</v>
      </c>
      <c r="H942" s="6" t="s">
        <v>38</v>
      </c>
      <c r="I942" s="8"/>
      <c r="J942" s="9">
        <v>1</v>
      </c>
      <c r="K942" s="9">
        <v>872</v>
      </c>
      <c r="L942" s="9">
        <v>2023</v>
      </c>
      <c r="M942" s="8" t="s">
        <v>5231</v>
      </c>
      <c r="N942" s="8" t="s">
        <v>40</v>
      </c>
      <c r="O942" s="8" t="s">
        <v>41</v>
      </c>
      <c r="P942" s="6" t="s">
        <v>42</v>
      </c>
      <c r="Q942" s="8"/>
      <c r="R942" s="10" t="s">
        <v>304</v>
      </c>
      <c r="S942" s="11"/>
      <c r="T942" s="6"/>
      <c r="U942" s="28" t="str">
        <f>HYPERLINK("https://media.infra-m.ru/1915/1915697/cover/1915697.jpg", "Обложка")</f>
        <v>Обложка</v>
      </c>
      <c r="V942" s="12"/>
      <c r="W942" s="8" t="s">
        <v>712</v>
      </c>
      <c r="X942" s="6"/>
      <c r="Y942" s="6"/>
      <c r="Z942" s="6"/>
      <c r="AA942" s="6" t="s">
        <v>408</v>
      </c>
    </row>
    <row r="943" spans="1:27" s="4" customFormat="1" ht="42" customHeight="1">
      <c r="A943" s="5">
        <v>0</v>
      </c>
      <c r="B943" s="6" t="s">
        <v>5232</v>
      </c>
      <c r="C943" s="13">
        <v>2145</v>
      </c>
      <c r="D943" s="8" t="s">
        <v>5233</v>
      </c>
      <c r="E943" s="8" t="s">
        <v>5234</v>
      </c>
      <c r="F943" s="8" t="s">
        <v>5226</v>
      </c>
      <c r="G943" s="6" t="s">
        <v>58</v>
      </c>
      <c r="H943" s="6" t="s">
        <v>38</v>
      </c>
      <c r="I943" s="8"/>
      <c r="J943" s="9">
        <v>1</v>
      </c>
      <c r="K943" s="9">
        <v>672</v>
      </c>
      <c r="L943" s="9">
        <v>2023</v>
      </c>
      <c r="M943" s="8" t="s">
        <v>5235</v>
      </c>
      <c r="N943" s="8" t="s">
        <v>40</v>
      </c>
      <c r="O943" s="8" t="s">
        <v>41</v>
      </c>
      <c r="P943" s="6" t="s">
        <v>42</v>
      </c>
      <c r="Q943" s="8"/>
      <c r="R943" s="10" t="s">
        <v>304</v>
      </c>
      <c r="S943" s="11"/>
      <c r="T943" s="6"/>
      <c r="U943" s="28" t="str">
        <f>HYPERLINK("https://media.infra-m.ru/1915/1915698/cover/1915698.jpg", "Обложка")</f>
        <v>Обложка</v>
      </c>
      <c r="V943" s="12"/>
      <c r="W943" s="8" t="s">
        <v>712</v>
      </c>
      <c r="X943" s="6"/>
      <c r="Y943" s="6"/>
      <c r="Z943" s="6"/>
      <c r="AA943" s="6" t="s">
        <v>408</v>
      </c>
    </row>
    <row r="944" spans="1:27" s="4" customFormat="1" ht="42" customHeight="1">
      <c r="A944" s="5">
        <v>0</v>
      </c>
      <c r="B944" s="6" t="s">
        <v>5236</v>
      </c>
      <c r="C944" s="13">
        <v>2391.9</v>
      </c>
      <c r="D944" s="8" t="s">
        <v>5237</v>
      </c>
      <c r="E944" s="8" t="s">
        <v>5238</v>
      </c>
      <c r="F944" s="8" t="s">
        <v>5226</v>
      </c>
      <c r="G944" s="6" t="s">
        <v>58</v>
      </c>
      <c r="H944" s="6" t="s">
        <v>38</v>
      </c>
      <c r="I944" s="8"/>
      <c r="J944" s="9">
        <v>1</v>
      </c>
      <c r="K944" s="9">
        <v>1088</v>
      </c>
      <c r="L944" s="9">
        <v>2022</v>
      </c>
      <c r="M944" s="8" t="s">
        <v>5239</v>
      </c>
      <c r="N944" s="8" t="s">
        <v>40</v>
      </c>
      <c r="O944" s="8" t="s">
        <v>41</v>
      </c>
      <c r="P944" s="6" t="s">
        <v>42</v>
      </c>
      <c r="Q944" s="8" t="s">
        <v>43</v>
      </c>
      <c r="R944" s="10" t="s">
        <v>69</v>
      </c>
      <c r="S944" s="11"/>
      <c r="T944" s="6"/>
      <c r="U944" s="28" t="str">
        <f>HYPERLINK("https://media.infra-m.ru/1840/1840900/cover/1840900.jpg", "Обложка")</f>
        <v>Обложка</v>
      </c>
      <c r="V944" s="12"/>
      <c r="W944" s="8" t="s">
        <v>712</v>
      </c>
      <c r="X944" s="6"/>
      <c r="Y944" s="6"/>
      <c r="Z944" s="6"/>
      <c r="AA944" s="6" t="s">
        <v>46</v>
      </c>
    </row>
    <row r="945" spans="1:27" s="4" customFormat="1" ht="51.95" customHeight="1">
      <c r="A945" s="5">
        <v>0</v>
      </c>
      <c r="B945" s="6" t="s">
        <v>5240</v>
      </c>
      <c r="C945" s="13">
        <v>1440</v>
      </c>
      <c r="D945" s="8" t="s">
        <v>5241</v>
      </c>
      <c r="E945" s="8" t="s">
        <v>5242</v>
      </c>
      <c r="F945" s="8" t="s">
        <v>5243</v>
      </c>
      <c r="G945" s="6" t="s">
        <v>58</v>
      </c>
      <c r="H945" s="6" t="s">
        <v>84</v>
      </c>
      <c r="I945" s="8" t="s">
        <v>251</v>
      </c>
      <c r="J945" s="9">
        <v>1</v>
      </c>
      <c r="K945" s="9">
        <v>318</v>
      </c>
      <c r="L945" s="9">
        <v>2023</v>
      </c>
      <c r="M945" s="8" t="s">
        <v>5244</v>
      </c>
      <c r="N945" s="8" t="s">
        <v>40</v>
      </c>
      <c r="O945" s="8" t="s">
        <v>41</v>
      </c>
      <c r="P945" s="6" t="s">
        <v>42</v>
      </c>
      <c r="Q945" s="8" t="s">
        <v>43</v>
      </c>
      <c r="R945" s="10" t="s">
        <v>464</v>
      </c>
      <c r="S945" s="11"/>
      <c r="T945" s="6"/>
      <c r="U945" s="28" t="str">
        <f>HYPERLINK("https://media.infra-m.ru/2030/2030734/cover/2030734.jpg", "Обложка")</f>
        <v>Обложка</v>
      </c>
      <c r="V945" s="28" t="str">
        <f>HYPERLINK("https://znanium.com/catalog/product/2030734", "Ознакомиться")</f>
        <v>Ознакомиться</v>
      </c>
      <c r="W945" s="8" t="s">
        <v>1082</v>
      </c>
      <c r="X945" s="6" t="s">
        <v>1600</v>
      </c>
      <c r="Y945" s="6"/>
      <c r="Z945" s="6"/>
      <c r="AA945" s="6" t="s">
        <v>408</v>
      </c>
    </row>
    <row r="946" spans="1:27" s="4" customFormat="1" ht="51.95" customHeight="1">
      <c r="A946" s="5">
        <v>0</v>
      </c>
      <c r="B946" s="6" t="s">
        <v>5245</v>
      </c>
      <c r="C946" s="13">
        <v>1160</v>
      </c>
      <c r="D946" s="8" t="s">
        <v>5246</v>
      </c>
      <c r="E946" s="8" t="s">
        <v>5247</v>
      </c>
      <c r="F946" s="8" t="s">
        <v>748</v>
      </c>
      <c r="G946" s="6" t="s">
        <v>58</v>
      </c>
      <c r="H946" s="6" t="s">
        <v>84</v>
      </c>
      <c r="I946" s="8" t="s">
        <v>93</v>
      </c>
      <c r="J946" s="9">
        <v>1</v>
      </c>
      <c r="K946" s="9">
        <v>252</v>
      </c>
      <c r="L946" s="9">
        <v>2023</v>
      </c>
      <c r="M946" s="8" t="s">
        <v>5248</v>
      </c>
      <c r="N946" s="8" t="s">
        <v>40</v>
      </c>
      <c r="O946" s="8" t="s">
        <v>41</v>
      </c>
      <c r="P946" s="6" t="s">
        <v>75</v>
      </c>
      <c r="Q946" s="8" t="s">
        <v>96</v>
      </c>
      <c r="R946" s="10" t="s">
        <v>3094</v>
      </c>
      <c r="S946" s="11" t="s">
        <v>5249</v>
      </c>
      <c r="T946" s="6"/>
      <c r="U946" s="28" t="str">
        <f>HYPERLINK("https://media.infra-m.ru/1891/1891021/cover/1891021.jpg", "Обложка")</f>
        <v>Обложка</v>
      </c>
      <c r="V946" s="28" t="str">
        <f>HYPERLINK("https://znanium.com/catalog/product/1891021", "Ознакомиться")</f>
        <v>Ознакомиться</v>
      </c>
      <c r="W946" s="8" t="s">
        <v>751</v>
      </c>
      <c r="X946" s="6" t="s">
        <v>904</v>
      </c>
      <c r="Y946" s="6"/>
      <c r="Z946" s="6"/>
      <c r="AA946" s="6" t="s">
        <v>408</v>
      </c>
    </row>
    <row r="947" spans="1:27" s="4" customFormat="1" ht="51.95" customHeight="1">
      <c r="A947" s="5">
        <v>0</v>
      </c>
      <c r="B947" s="6" t="s">
        <v>5250</v>
      </c>
      <c r="C947" s="13">
        <v>1944.9</v>
      </c>
      <c r="D947" s="8" t="s">
        <v>5251</v>
      </c>
      <c r="E947" s="8" t="s">
        <v>5252</v>
      </c>
      <c r="F947" s="8" t="s">
        <v>5253</v>
      </c>
      <c r="G947" s="6" t="s">
        <v>58</v>
      </c>
      <c r="H947" s="6" t="s">
        <v>38</v>
      </c>
      <c r="I947" s="8"/>
      <c r="J947" s="9">
        <v>1</v>
      </c>
      <c r="K947" s="9">
        <v>432</v>
      </c>
      <c r="L947" s="9">
        <v>2023</v>
      </c>
      <c r="M947" s="8" t="s">
        <v>5254</v>
      </c>
      <c r="N947" s="8" t="s">
        <v>40</v>
      </c>
      <c r="O947" s="8" t="s">
        <v>41</v>
      </c>
      <c r="P947" s="6" t="s">
        <v>95</v>
      </c>
      <c r="Q947" s="8" t="s">
        <v>76</v>
      </c>
      <c r="R947" s="10" t="s">
        <v>235</v>
      </c>
      <c r="S947" s="11"/>
      <c r="T947" s="6"/>
      <c r="U947" s="28" t="str">
        <f>HYPERLINK("https://media.infra-m.ru/1962/1962515/cover/1962515.jpg", "Обложка")</f>
        <v>Обложка</v>
      </c>
      <c r="V947" s="28" t="str">
        <f>HYPERLINK("https://znanium.com/catalog/product/1962515", "Ознакомиться")</f>
        <v>Ознакомиться</v>
      </c>
      <c r="W947" s="8" t="s">
        <v>2729</v>
      </c>
      <c r="X947" s="6"/>
      <c r="Y947" s="6"/>
      <c r="Z947" s="6"/>
      <c r="AA947" s="6" t="s">
        <v>143</v>
      </c>
    </row>
    <row r="948" spans="1:27" s="4" customFormat="1" ht="42" customHeight="1">
      <c r="A948" s="5">
        <v>0</v>
      </c>
      <c r="B948" s="6" t="s">
        <v>5255</v>
      </c>
      <c r="C948" s="13">
        <v>1790</v>
      </c>
      <c r="D948" s="8" t="s">
        <v>5256</v>
      </c>
      <c r="E948" s="8" t="s">
        <v>5257</v>
      </c>
      <c r="F948" s="8" t="s">
        <v>5258</v>
      </c>
      <c r="G948" s="6" t="s">
        <v>37</v>
      </c>
      <c r="H948" s="6" t="s">
        <v>38</v>
      </c>
      <c r="I948" s="8" t="s">
        <v>93</v>
      </c>
      <c r="J948" s="9">
        <v>1</v>
      </c>
      <c r="K948" s="9">
        <v>432</v>
      </c>
      <c r="L948" s="9">
        <v>2022</v>
      </c>
      <c r="M948" s="8" t="s">
        <v>5259</v>
      </c>
      <c r="N948" s="8" t="s">
        <v>40</v>
      </c>
      <c r="O948" s="8" t="s">
        <v>41</v>
      </c>
      <c r="P948" s="6" t="s">
        <v>95</v>
      </c>
      <c r="Q948" s="8" t="s">
        <v>96</v>
      </c>
      <c r="R948" s="10" t="s">
        <v>4065</v>
      </c>
      <c r="S948" s="11"/>
      <c r="T948" s="6"/>
      <c r="U948" s="28" t="str">
        <f>HYPERLINK("https://media.infra-m.ru/1874/1874641/cover/1874641.jpg", "Обложка")</f>
        <v>Обложка</v>
      </c>
      <c r="V948" s="28" t="str">
        <f>HYPERLINK("https://znanium.com/catalog/product/1867896", "Ознакомиться")</f>
        <v>Ознакомиться</v>
      </c>
      <c r="W948" s="8" t="s">
        <v>2729</v>
      </c>
      <c r="X948" s="6"/>
      <c r="Y948" s="6"/>
      <c r="Z948" s="6"/>
      <c r="AA948" s="6" t="s">
        <v>343</v>
      </c>
    </row>
    <row r="949" spans="1:27" s="4" customFormat="1" ht="51.95" customHeight="1">
      <c r="A949" s="5">
        <v>0</v>
      </c>
      <c r="B949" s="6" t="s">
        <v>5260</v>
      </c>
      <c r="C949" s="13">
        <v>1424.9</v>
      </c>
      <c r="D949" s="8" t="s">
        <v>5261</v>
      </c>
      <c r="E949" s="8" t="s">
        <v>5257</v>
      </c>
      <c r="F949" s="8" t="s">
        <v>5253</v>
      </c>
      <c r="G949" s="6" t="s">
        <v>58</v>
      </c>
      <c r="H949" s="6" t="s">
        <v>38</v>
      </c>
      <c r="I949" s="8"/>
      <c r="J949" s="9">
        <v>1</v>
      </c>
      <c r="K949" s="9">
        <v>416</v>
      </c>
      <c r="L949" s="9">
        <v>2020</v>
      </c>
      <c r="M949" s="8" t="s">
        <v>5262</v>
      </c>
      <c r="N949" s="8" t="s">
        <v>40</v>
      </c>
      <c r="O949" s="8" t="s">
        <v>41</v>
      </c>
      <c r="P949" s="6" t="s">
        <v>95</v>
      </c>
      <c r="Q949" s="8" t="s">
        <v>76</v>
      </c>
      <c r="R949" s="10" t="s">
        <v>235</v>
      </c>
      <c r="S949" s="11"/>
      <c r="T949" s="6"/>
      <c r="U949" s="28" t="str">
        <f>HYPERLINK("https://media.infra-m.ru/1081/1081355/cover/1081355.jpg", "Обложка")</f>
        <v>Обложка</v>
      </c>
      <c r="V949" s="28" t="str">
        <f>HYPERLINK("https://znanium.com/catalog/product/1962515", "Ознакомиться")</f>
        <v>Ознакомиться</v>
      </c>
      <c r="W949" s="8" t="s">
        <v>2729</v>
      </c>
      <c r="X949" s="6"/>
      <c r="Y949" s="6"/>
      <c r="Z949" s="6"/>
      <c r="AA949" s="6" t="s">
        <v>46</v>
      </c>
    </row>
    <row r="950" spans="1:27" s="4" customFormat="1" ht="51.95" customHeight="1">
      <c r="A950" s="5">
        <v>0</v>
      </c>
      <c r="B950" s="6" t="s">
        <v>5263</v>
      </c>
      <c r="C950" s="7">
        <v>770</v>
      </c>
      <c r="D950" s="8" t="s">
        <v>5264</v>
      </c>
      <c r="E950" s="8" t="s">
        <v>5257</v>
      </c>
      <c r="F950" s="8" t="s">
        <v>5265</v>
      </c>
      <c r="G950" s="6" t="s">
        <v>58</v>
      </c>
      <c r="H950" s="6" t="s">
        <v>52</v>
      </c>
      <c r="I950" s="8" t="s">
        <v>185</v>
      </c>
      <c r="J950" s="9">
        <v>1</v>
      </c>
      <c r="K950" s="9">
        <v>261</v>
      </c>
      <c r="L950" s="9">
        <v>2017</v>
      </c>
      <c r="M950" s="8" t="s">
        <v>5266</v>
      </c>
      <c r="N950" s="8" t="s">
        <v>40</v>
      </c>
      <c r="O950" s="8" t="s">
        <v>41</v>
      </c>
      <c r="P950" s="6" t="s">
        <v>75</v>
      </c>
      <c r="Q950" s="8" t="s">
        <v>76</v>
      </c>
      <c r="R950" s="10" t="s">
        <v>5267</v>
      </c>
      <c r="S950" s="11" t="s">
        <v>5268</v>
      </c>
      <c r="T950" s="6"/>
      <c r="U950" s="28" t="str">
        <f>HYPERLINK("https://media.infra-m.ru/0810/0810154/cover/810154.jpg", "Обложка")</f>
        <v>Обложка</v>
      </c>
      <c r="V950" s="28" t="str">
        <f>HYPERLINK("https://znanium.com/catalog/product/563784", "Ознакомиться")</f>
        <v>Ознакомиться</v>
      </c>
      <c r="W950" s="8" t="s">
        <v>5269</v>
      </c>
      <c r="X950" s="6"/>
      <c r="Y950" s="6"/>
      <c r="Z950" s="6"/>
      <c r="AA950" s="6" t="s">
        <v>148</v>
      </c>
    </row>
    <row r="951" spans="1:27" s="4" customFormat="1" ht="51.95" customHeight="1">
      <c r="A951" s="5">
        <v>0</v>
      </c>
      <c r="B951" s="6" t="s">
        <v>5270</v>
      </c>
      <c r="C951" s="13">
        <v>1280</v>
      </c>
      <c r="D951" s="8" t="s">
        <v>5271</v>
      </c>
      <c r="E951" s="8" t="s">
        <v>5272</v>
      </c>
      <c r="F951" s="8" t="s">
        <v>748</v>
      </c>
      <c r="G951" s="6" t="s">
        <v>58</v>
      </c>
      <c r="H951" s="6" t="s">
        <v>84</v>
      </c>
      <c r="I951" s="8" t="s">
        <v>185</v>
      </c>
      <c r="J951" s="9">
        <v>1</v>
      </c>
      <c r="K951" s="9">
        <v>280</v>
      </c>
      <c r="L951" s="9">
        <v>2023</v>
      </c>
      <c r="M951" s="8" t="s">
        <v>5273</v>
      </c>
      <c r="N951" s="8" t="s">
        <v>40</v>
      </c>
      <c r="O951" s="8" t="s">
        <v>41</v>
      </c>
      <c r="P951" s="6" t="s">
        <v>75</v>
      </c>
      <c r="Q951" s="8" t="s">
        <v>76</v>
      </c>
      <c r="R951" s="10" t="s">
        <v>77</v>
      </c>
      <c r="S951" s="11" t="s">
        <v>5274</v>
      </c>
      <c r="T951" s="6"/>
      <c r="U951" s="28" t="str">
        <f>HYPERLINK("https://media.infra-m.ru/1911/1911264/cover/1911264.jpg", "Обложка")</f>
        <v>Обложка</v>
      </c>
      <c r="V951" s="28" t="str">
        <f>HYPERLINK("https://znanium.com/catalog/product/1911264", "Ознакомиться")</f>
        <v>Ознакомиться</v>
      </c>
      <c r="W951" s="8" t="s">
        <v>751</v>
      </c>
      <c r="X951" s="6"/>
      <c r="Y951" s="6"/>
      <c r="Z951" s="6" t="s">
        <v>4321</v>
      </c>
      <c r="AA951" s="6" t="s">
        <v>137</v>
      </c>
    </row>
    <row r="952" spans="1:27" s="4" customFormat="1" ht="51.95" customHeight="1">
      <c r="A952" s="5">
        <v>0</v>
      </c>
      <c r="B952" s="6" t="s">
        <v>5275</v>
      </c>
      <c r="C952" s="7">
        <v>820</v>
      </c>
      <c r="D952" s="8" t="s">
        <v>5276</v>
      </c>
      <c r="E952" s="8" t="s">
        <v>5277</v>
      </c>
      <c r="F952" s="8" t="s">
        <v>748</v>
      </c>
      <c r="G952" s="6" t="s">
        <v>37</v>
      </c>
      <c r="H952" s="6" t="s">
        <v>192</v>
      </c>
      <c r="I952" s="8" t="s">
        <v>93</v>
      </c>
      <c r="J952" s="9">
        <v>1</v>
      </c>
      <c r="K952" s="9">
        <v>256</v>
      </c>
      <c r="L952" s="9">
        <v>2019</v>
      </c>
      <c r="M952" s="8" t="s">
        <v>5278</v>
      </c>
      <c r="N952" s="8" t="s">
        <v>40</v>
      </c>
      <c r="O952" s="8" t="s">
        <v>41</v>
      </c>
      <c r="P952" s="6" t="s">
        <v>75</v>
      </c>
      <c r="Q952" s="8" t="s">
        <v>96</v>
      </c>
      <c r="R952" s="10" t="s">
        <v>2988</v>
      </c>
      <c r="S952" s="11" t="s">
        <v>5279</v>
      </c>
      <c r="T952" s="6"/>
      <c r="U952" s="28" t="str">
        <f>HYPERLINK("https://media.infra-m.ru/0982/0982775/cover/982775.jpg", "Обложка")</f>
        <v>Обложка</v>
      </c>
      <c r="V952" s="28" t="str">
        <f>HYPERLINK("https://znanium.com/catalog/product/1852912", "Ознакомиться")</f>
        <v>Ознакомиться</v>
      </c>
      <c r="W952" s="8" t="s">
        <v>751</v>
      </c>
      <c r="X952" s="6"/>
      <c r="Y952" s="6"/>
      <c r="Z952" s="6"/>
      <c r="AA952" s="6" t="s">
        <v>298</v>
      </c>
    </row>
    <row r="953" spans="1:27" s="4" customFormat="1" ht="51.95" customHeight="1">
      <c r="A953" s="5">
        <v>0</v>
      </c>
      <c r="B953" s="6" t="s">
        <v>5280</v>
      </c>
      <c r="C953" s="13">
        <v>1340</v>
      </c>
      <c r="D953" s="8" t="s">
        <v>5281</v>
      </c>
      <c r="E953" s="8" t="s">
        <v>5282</v>
      </c>
      <c r="F953" s="8" t="s">
        <v>5283</v>
      </c>
      <c r="G953" s="6" t="s">
        <v>37</v>
      </c>
      <c r="H953" s="6" t="s">
        <v>52</v>
      </c>
      <c r="I953" s="8" t="s">
        <v>185</v>
      </c>
      <c r="J953" s="9">
        <v>1</v>
      </c>
      <c r="K953" s="9">
        <v>298</v>
      </c>
      <c r="L953" s="9">
        <v>2022</v>
      </c>
      <c r="M953" s="8" t="s">
        <v>5284</v>
      </c>
      <c r="N953" s="8" t="s">
        <v>40</v>
      </c>
      <c r="O953" s="8" t="s">
        <v>41</v>
      </c>
      <c r="P953" s="6" t="s">
        <v>75</v>
      </c>
      <c r="Q953" s="8" t="s">
        <v>76</v>
      </c>
      <c r="R953" s="10" t="s">
        <v>235</v>
      </c>
      <c r="S953" s="11" t="s">
        <v>5285</v>
      </c>
      <c r="T953" s="6"/>
      <c r="U953" s="28" t="str">
        <f>HYPERLINK("https://media.infra-m.ru/1917/1917600/cover/1917600.jpg", "Обложка")</f>
        <v>Обложка</v>
      </c>
      <c r="V953" s="28" t="str">
        <f>HYPERLINK("https://znanium.com/catalog/product/1917600", "Ознакомиться")</f>
        <v>Ознакомиться</v>
      </c>
      <c r="W953" s="8" t="s">
        <v>726</v>
      </c>
      <c r="X953" s="6"/>
      <c r="Y953" s="6"/>
      <c r="Z953" s="6"/>
      <c r="AA953" s="6" t="s">
        <v>855</v>
      </c>
    </row>
    <row r="954" spans="1:27" s="4" customFormat="1" ht="51.95" customHeight="1">
      <c r="A954" s="5">
        <v>0</v>
      </c>
      <c r="B954" s="6" t="s">
        <v>5286</v>
      </c>
      <c r="C954" s="7">
        <v>940</v>
      </c>
      <c r="D954" s="8" t="s">
        <v>5287</v>
      </c>
      <c r="E954" s="8" t="s">
        <v>5288</v>
      </c>
      <c r="F954" s="8" t="s">
        <v>5289</v>
      </c>
      <c r="G954" s="6" t="s">
        <v>58</v>
      </c>
      <c r="H954" s="6" t="s">
        <v>84</v>
      </c>
      <c r="I954" s="8" t="s">
        <v>251</v>
      </c>
      <c r="J954" s="9">
        <v>1</v>
      </c>
      <c r="K954" s="9">
        <v>239</v>
      </c>
      <c r="L954" s="9">
        <v>2022</v>
      </c>
      <c r="M954" s="8" t="s">
        <v>5290</v>
      </c>
      <c r="N954" s="8" t="s">
        <v>40</v>
      </c>
      <c r="O954" s="8" t="s">
        <v>41</v>
      </c>
      <c r="P954" s="6" t="s">
        <v>42</v>
      </c>
      <c r="Q954" s="8" t="s">
        <v>43</v>
      </c>
      <c r="R954" s="10" t="s">
        <v>5291</v>
      </c>
      <c r="S954" s="11"/>
      <c r="T954" s="6"/>
      <c r="U954" s="28" t="str">
        <f>HYPERLINK("https://media.infra-m.ru/1692/1692575/cover/1692575.jpg", "Обложка")</f>
        <v>Обложка</v>
      </c>
      <c r="V954" s="28" t="str">
        <f>HYPERLINK("https://znanium.com/catalog/product/1692575", "Ознакомиться")</f>
        <v>Ознакомиться</v>
      </c>
      <c r="W954" s="8"/>
      <c r="X954" s="6"/>
      <c r="Y954" s="6"/>
      <c r="Z954" s="6"/>
      <c r="AA954" s="6" t="s">
        <v>343</v>
      </c>
    </row>
    <row r="955" spans="1:27" s="4" customFormat="1" ht="51.95" customHeight="1">
      <c r="A955" s="5">
        <v>0</v>
      </c>
      <c r="B955" s="6" t="s">
        <v>5292</v>
      </c>
      <c r="C955" s="13">
        <v>2141.9</v>
      </c>
      <c r="D955" s="8" t="s">
        <v>5293</v>
      </c>
      <c r="E955" s="8" t="s">
        <v>5294</v>
      </c>
      <c r="F955" s="8" t="s">
        <v>5295</v>
      </c>
      <c r="G955" s="6" t="s">
        <v>58</v>
      </c>
      <c r="H955" s="6" t="s">
        <v>38</v>
      </c>
      <c r="I955" s="8"/>
      <c r="J955" s="9">
        <v>8</v>
      </c>
      <c r="K955" s="9">
        <v>704</v>
      </c>
      <c r="L955" s="9">
        <v>2018</v>
      </c>
      <c r="M955" s="8" t="s">
        <v>5296</v>
      </c>
      <c r="N955" s="8" t="s">
        <v>40</v>
      </c>
      <c r="O955" s="8" t="s">
        <v>41</v>
      </c>
      <c r="P955" s="6" t="s">
        <v>42</v>
      </c>
      <c r="Q955" s="8" t="s">
        <v>76</v>
      </c>
      <c r="R955" s="10" t="s">
        <v>1900</v>
      </c>
      <c r="S955" s="11"/>
      <c r="T955" s="6"/>
      <c r="U955" s="28" t="str">
        <f>HYPERLINK("https://media.infra-m.ru/0958/0958924/cover/958924.jpg", "Обложка")</f>
        <v>Обложка</v>
      </c>
      <c r="V955" s="28" t="str">
        <f>HYPERLINK("https://znanium.com/catalog/product/1071794", "Ознакомиться")</f>
        <v>Ознакомиться</v>
      </c>
      <c r="W955" s="8" t="s">
        <v>45</v>
      </c>
      <c r="X955" s="6"/>
      <c r="Y955" s="6"/>
      <c r="Z955" s="6"/>
      <c r="AA955" s="6" t="s">
        <v>171</v>
      </c>
    </row>
    <row r="956" spans="1:27" s="4" customFormat="1" ht="42" customHeight="1">
      <c r="A956" s="5">
        <v>0</v>
      </c>
      <c r="B956" s="6" t="s">
        <v>5297</v>
      </c>
      <c r="C956" s="13">
        <v>1420</v>
      </c>
      <c r="D956" s="8" t="s">
        <v>5298</v>
      </c>
      <c r="E956" s="8" t="s">
        <v>5299</v>
      </c>
      <c r="F956" s="8" t="s">
        <v>3503</v>
      </c>
      <c r="G956" s="6" t="s">
        <v>37</v>
      </c>
      <c r="H956" s="6" t="s">
        <v>38</v>
      </c>
      <c r="I956" s="8"/>
      <c r="J956" s="9">
        <v>1</v>
      </c>
      <c r="K956" s="9">
        <v>364</v>
      </c>
      <c r="L956" s="9">
        <v>2022</v>
      </c>
      <c r="M956" s="8" t="s">
        <v>5300</v>
      </c>
      <c r="N956" s="8" t="s">
        <v>40</v>
      </c>
      <c r="O956" s="8" t="s">
        <v>41</v>
      </c>
      <c r="P956" s="6" t="s">
        <v>42</v>
      </c>
      <c r="Q956" s="8" t="s">
        <v>43</v>
      </c>
      <c r="R956" s="10" t="s">
        <v>69</v>
      </c>
      <c r="S956" s="11"/>
      <c r="T956" s="6"/>
      <c r="U956" s="28" t="str">
        <f>HYPERLINK("https://media.infra-m.ru/1862/1862400/cover/1862400.jpg", "Обложка")</f>
        <v>Обложка</v>
      </c>
      <c r="V956" s="28" t="str">
        <f>HYPERLINK("https://znanium.com/catalog/product/1926364", "Ознакомиться")</f>
        <v>Ознакомиться</v>
      </c>
      <c r="W956" s="8" t="s">
        <v>78</v>
      </c>
      <c r="X956" s="6"/>
      <c r="Y956" s="6"/>
      <c r="Z956" s="6"/>
      <c r="AA956" s="6" t="s">
        <v>343</v>
      </c>
    </row>
    <row r="957" spans="1:27" s="4" customFormat="1" ht="42" customHeight="1">
      <c r="A957" s="5">
        <v>0</v>
      </c>
      <c r="B957" s="6" t="s">
        <v>5301</v>
      </c>
      <c r="C957" s="13">
        <v>1910</v>
      </c>
      <c r="D957" s="8" t="s">
        <v>5302</v>
      </c>
      <c r="E957" s="8" t="s">
        <v>5303</v>
      </c>
      <c r="F957" s="8" t="s">
        <v>3503</v>
      </c>
      <c r="G957" s="6" t="s">
        <v>37</v>
      </c>
      <c r="H957" s="6" t="s">
        <v>38</v>
      </c>
      <c r="I957" s="8"/>
      <c r="J957" s="9">
        <v>1</v>
      </c>
      <c r="K957" s="9">
        <v>424</v>
      </c>
      <c r="L957" s="9">
        <v>2023</v>
      </c>
      <c r="M957" s="8" t="s">
        <v>5304</v>
      </c>
      <c r="N957" s="8" t="s">
        <v>40</v>
      </c>
      <c r="O957" s="8" t="s">
        <v>41</v>
      </c>
      <c r="P957" s="6" t="s">
        <v>42</v>
      </c>
      <c r="Q957" s="8" t="s">
        <v>43</v>
      </c>
      <c r="R957" s="10" t="s">
        <v>69</v>
      </c>
      <c r="S957" s="11"/>
      <c r="T957" s="6"/>
      <c r="U957" s="28" t="str">
        <f>HYPERLINK("https://media.infra-m.ru/1926/1926364/cover/1926364.jpg", "Обложка")</f>
        <v>Обложка</v>
      </c>
      <c r="V957" s="28" t="str">
        <f>HYPERLINK("https://znanium.com/catalog/product/1926364", "Ознакомиться")</f>
        <v>Ознакомиться</v>
      </c>
      <c r="W957" s="8" t="s">
        <v>78</v>
      </c>
      <c r="X957" s="6" t="s">
        <v>904</v>
      </c>
      <c r="Y957" s="6"/>
      <c r="Z957" s="6"/>
      <c r="AA957" s="6" t="s">
        <v>137</v>
      </c>
    </row>
    <row r="958" spans="1:27" s="4" customFormat="1" ht="42" customHeight="1">
      <c r="A958" s="5">
        <v>0</v>
      </c>
      <c r="B958" s="6" t="s">
        <v>5305</v>
      </c>
      <c r="C958" s="7">
        <v>874.9</v>
      </c>
      <c r="D958" s="8" t="s">
        <v>5306</v>
      </c>
      <c r="E958" s="8" t="s">
        <v>5307</v>
      </c>
      <c r="F958" s="8" t="s">
        <v>5308</v>
      </c>
      <c r="G958" s="6" t="s">
        <v>58</v>
      </c>
      <c r="H958" s="6" t="s">
        <v>38</v>
      </c>
      <c r="I958" s="8"/>
      <c r="J958" s="9">
        <v>1</v>
      </c>
      <c r="K958" s="9">
        <v>224</v>
      </c>
      <c r="L958" s="9">
        <v>2022</v>
      </c>
      <c r="M958" s="8" t="s">
        <v>5309</v>
      </c>
      <c r="N958" s="8" t="s">
        <v>40</v>
      </c>
      <c r="O958" s="8" t="s">
        <v>41</v>
      </c>
      <c r="P958" s="6" t="s">
        <v>42</v>
      </c>
      <c r="Q958" s="8" t="s">
        <v>43</v>
      </c>
      <c r="R958" s="10" t="s">
        <v>304</v>
      </c>
      <c r="S958" s="11"/>
      <c r="T958" s="6"/>
      <c r="U958" s="28" t="str">
        <f>HYPERLINK("https://media.infra-m.ru/1290/1290965/cover/1290965.jpg", "Обложка")</f>
        <v>Обложка</v>
      </c>
      <c r="V958" s="28" t="str">
        <f>HYPERLINK("https://znanium.com/catalog/product/1290965", "Ознакомиться")</f>
        <v>Ознакомиться</v>
      </c>
      <c r="W958" s="8" t="s">
        <v>237</v>
      </c>
      <c r="X958" s="6"/>
      <c r="Y958" s="6"/>
      <c r="Z958" s="6"/>
      <c r="AA958" s="6" t="s">
        <v>46</v>
      </c>
    </row>
    <row r="959" spans="1:27" s="4" customFormat="1" ht="51.95" customHeight="1">
      <c r="A959" s="5">
        <v>0</v>
      </c>
      <c r="B959" s="6" t="s">
        <v>5310</v>
      </c>
      <c r="C959" s="13">
        <v>1250</v>
      </c>
      <c r="D959" s="8" t="s">
        <v>5311</v>
      </c>
      <c r="E959" s="8" t="s">
        <v>5312</v>
      </c>
      <c r="F959" s="8" t="s">
        <v>1549</v>
      </c>
      <c r="G959" s="6" t="s">
        <v>58</v>
      </c>
      <c r="H959" s="6" t="s">
        <v>38</v>
      </c>
      <c r="I959" s="8"/>
      <c r="J959" s="9">
        <v>1</v>
      </c>
      <c r="K959" s="9">
        <v>344</v>
      </c>
      <c r="L959" s="9">
        <v>2022</v>
      </c>
      <c r="M959" s="8" t="s">
        <v>5313</v>
      </c>
      <c r="N959" s="8" t="s">
        <v>40</v>
      </c>
      <c r="O959" s="8" t="s">
        <v>41</v>
      </c>
      <c r="P959" s="6" t="s">
        <v>295</v>
      </c>
      <c r="Q959" s="8" t="s">
        <v>43</v>
      </c>
      <c r="R959" s="10" t="s">
        <v>5314</v>
      </c>
      <c r="S959" s="11"/>
      <c r="T959" s="6"/>
      <c r="U959" s="28" t="str">
        <f>HYPERLINK("https://media.infra-m.ru/1861/1861953/cover/1861953.jpg", "Обложка")</f>
        <v>Обложка</v>
      </c>
      <c r="V959" s="28" t="str">
        <f>HYPERLINK("https://znanium.com/catalog/product/1904427", "Ознакомиться")</f>
        <v>Ознакомиться</v>
      </c>
      <c r="W959" s="8" t="s">
        <v>45</v>
      </c>
      <c r="X959" s="6"/>
      <c r="Y959" s="6"/>
      <c r="Z959" s="6"/>
      <c r="AA959" s="6" t="s">
        <v>343</v>
      </c>
    </row>
    <row r="960" spans="1:27" s="4" customFormat="1" ht="51.95" customHeight="1">
      <c r="A960" s="5">
        <v>0</v>
      </c>
      <c r="B960" s="6" t="s">
        <v>5315</v>
      </c>
      <c r="C960" s="13">
        <v>1394</v>
      </c>
      <c r="D960" s="8" t="s">
        <v>5316</v>
      </c>
      <c r="E960" s="8" t="s">
        <v>5317</v>
      </c>
      <c r="F960" s="8" t="s">
        <v>5318</v>
      </c>
      <c r="G960" s="6" t="s">
        <v>26</v>
      </c>
      <c r="H960" s="6" t="s">
        <v>38</v>
      </c>
      <c r="I960" s="8" t="s">
        <v>2570</v>
      </c>
      <c r="J960" s="9">
        <v>1</v>
      </c>
      <c r="K960" s="9">
        <v>352</v>
      </c>
      <c r="L960" s="9">
        <v>2024</v>
      </c>
      <c r="M960" s="8" t="s">
        <v>5319</v>
      </c>
      <c r="N960" s="8" t="s">
        <v>40</v>
      </c>
      <c r="O960" s="8" t="s">
        <v>41</v>
      </c>
      <c r="P960" s="6" t="s">
        <v>2566</v>
      </c>
      <c r="Q960" s="8" t="s">
        <v>76</v>
      </c>
      <c r="R960" s="10" t="s">
        <v>1900</v>
      </c>
      <c r="S960" s="11" t="s">
        <v>5320</v>
      </c>
      <c r="T960" s="6"/>
      <c r="U960" s="28" t="str">
        <f>HYPERLINK("https://media.infra-m.ru/2053/2053239/cover/2053239.jpg", "Обложка")</f>
        <v>Обложка</v>
      </c>
      <c r="V960" s="28" t="str">
        <f>HYPERLINK("https://znanium.com/catalog/product/1228811", "Ознакомиться")</f>
        <v>Ознакомиться</v>
      </c>
      <c r="W960" s="8" t="s">
        <v>124</v>
      </c>
      <c r="X960" s="6"/>
      <c r="Y960" s="6"/>
      <c r="Z960" s="6"/>
      <c r="AA960" s="6" t="s">
        <v>5321</v>
      </c>
    </row>
    <row r="961" spans="1:27" s="4" customFormat="1" ht="42" customHeight="1">
      <c r="A961" s="5">
        <v>0</v>
      </c>
      <c r="B961" s="6" t="s">
        <v>5322</v>
      </c>
      <c r="C961" s="7">
        <v>664.9</v>
      </c>
      <c r="D961" s="8" t="s">
        <v>5323</v>
      </c>
      <c r="E961" s="8" t="s">
        <v>5324</v>
      </c>
      <c r="F961" s="8" t="s">
        <v>5325</v>
      </c>
      <c r="G961" s="6" t="s">
        <v>51</v>
      </c>
      <c r="H961" s="6" t="s">
        <v>38</v>
      </c>
      <c r="I961" s="8" t="s">
        <v>1732</v>
      </c>
      <c r="J961" s="9">
        <v>1</v>
      </c>
      <c r="K961" s="9">
        <v>208</v>
      </c>
      <c r="L961" s="9">
        <v>2022</v>
      </c>
      <c r="M961" s="8" t="s">
        <v>5326</v>
      </c>
      <c r="N961" s="8" t="s">
        <v>40</v>
      </c>
      <c r="O961" s="8" t="s">
        <v>41</v>
      </c>
      <c r="P961" s="6" t="s">
        <v>2566</v>
      </c>
      <c r="Q961" s="8" t="s">
        <v>76</v>
      </c>
      <c r="R961" s="10" t="s">
        <v>304</v>
      </c>
      <c r="S961" s="11"/>
      <c r="T961" s="6"/>
      <c r="U961" s="28" t="str">
        <f>HYPERLINK("https://media.infra-m.ru/1852/1852232/cover/1852232.jpg", "Обложка")</f>
        <v>Обложка</v>
      </c>
      <c r="V961" s="28" t="str">
        <f>HYPERLINK("https://znanium.com/catalog/product/1852232", "Ознакомиться")</f>
        <v>Ознакомиться</v>
      </c>
      <c r="W961" s="8" t="s">
        <v>375</v>
      </c>
      <c r="X961" s="6"/>
      <c r="Y961" s="6"/>
      <c r="Z961" s="6"/>
      <c r="AA961" s="6" t="s">
        <v>298</v>
      </c>
    </row>
    <row r="962" spans="1:27" s="4" customFormat="1" ht="51.95" customHeight="1">
      <c r="A962" s="5">
        <v>0</v>
      </c>
      <c r="B962" s="6" t="s">
        <v>5327</v>
      </c>
      <c r="C962" s="13">
        <v>1090</v>
      </c>
      <c r="D962" s="8" t="s">
        <v>5328</v>
      </c>
      <c r="E962" s="8" t="s">
        <v>5329</v>
      </c>
      <c r="F962" s="8" t="s">
        <v>5330</v>
      </c>
      <c r="G962" s="6" t="s">
        <v>37</v>
      </c>
      <c r="H962" s="6" t="s">
        <v>84</v>
      </c>
      <c r="I962" s="8" t="s">
        <v>5331</v>
      </c>
      <c r="J962" s="9">
        <v>1</v>
      </c>
      <c r="K962" s="9">
        <v>219</v>
      </c>
      <c r="L962" s="9">
        <v>2024</v>
      </c>
      <c r="M962" s="8" t="s">
        <v>5332</v>
      </c>
      <c r="N962" s="8" t="s">
        <v>40</v>
      </c>
      <c r="O962" s="8" t="s">
        <v>41</v>
      </c>
      <c r="P962" s="6" t="s">
        <v>1962</v>
      </c>
      <c r="Q962" s="8" t="s">
        <v>2084</v>
      </c>
      <c r="R962" s="10" t="s">
        <v>464</v>
      </c>
      <c r="S962" s="11"/>
      <c r="T962" s="6"/>
      <c r="U962" s="28" t="str">
        <f>HYPERLINK("https://media.infra-m.ru/2119/2119560/cover/2119560.jpg", "Обложка")</f>
        <v>Обложка</v>
      </c>
      <c r="V962" s="28" t="str">
        <f>HYPERLINK("https://znanium.com/catalog/product/1859922", "Ознакомиться")</f>
        <v>Ознакомиться</v>
      </c>
      <c r="W962" s="8" t="s">
        <v>5333</v>
      </c>
      <c r="X962" s="6"/>
      <c r="Y962" s="6"/>
      <c r="Z962" s="6"/>
      <c r="AA962" s="6" t="s">
        <v>100</v>
      </c>
    </row>
    <row r="963" spans="1:27" s="4" customFormat="1" ht="51.95" customHeight="1">
      <c r="A963" s="5">
        <v>0</v>
      </c>
      <c r="B963" s="6" t="s">
        <v>5334</v>
      </c>
      <c r="C963" s="7">
        <v>794.9</v>
      </c>
      <c r="D963" s="8" t="s">
        <v>5335</v>
      </c>
      <c r="E963" s="8" t="s">
        <v>5336</v>
      </c>
      <c r="F963" s="8" t="s">
        <v>5337</v>
      </c>
      <c r="G963" s="6" t="s">
        <v>58</v>
      </c>
      <c r="H963" s="6" t="s">
        <v>38</v>
      </c>
      <c r="I963" s="8"/>
      <c r="J963" s="9">
        <v>1</v>
      </c>
      <c r="K963" s="9">
        <v>192</v>
      </c>
      <c r="L963" s="9">
        <v>2022</v>
      </c>
      <c r="M963" s="8" t="s">
        <v>5338</v>
      </c>
      <c r="N963" s="8" t="s">
        <v>40</v>
      </c>
      <c r="O963" s="8" t="s">
        <v>41</v>
      </c>
      <c r="P963" s="6" t="s">
        <v>2566</v>
      </c>
      <c r="Q963" s="8" t="s">
        <v>680</v>
      </c>
      <c r="R963" s="10" t="s">
        <v>122</v>
      </c>
      <c r="S963" s="11"/>
      <c r="T963" s="6"/>
      <c r="U963" s="28" t="str">
        <f>HYPERLINK("https://media.infra-m.ru/1863/1863803/cover/1863803.jpg", "Обложка")</f>
        <v>Обложка</v>
      </c>
      <c r="V963" s="28" t="str">
        <f>HYPERLINK("https://znanium.com/catalog/product/1421917", "Ознакомиться")</f>
        <v>Ознакомиться</v>
      </c>
      <c r="W963" s="8" t="s">
        <v>114</v>
      </c>
      <c r="X963" s="6"/>
      <c r="Y963" s="6"/>
      <c r="Z963" s="6"/>
      <c r="AA963" s="6" t="s">
        <v>79</v>
      </c>
    </row>
    <row r="964" spans="1:27" s="4" customFormat="1" ht="51.95" customHeight="1">
      <c r="A964" s="5">
        <v>0</v>
      </c>
      <c r="B964" s="6" t="s">
        <v>5339</v>
      </c>
      <c r="C964" s="7">
        <v>680</v>
      </c>
      <c r="D964" s="8" t="s">
        <v>5340</v>
      </c>
      <c r="E964" s="8" t="s">
        <v>5336</v>
      </c>
      <c r="F964" s="8" t="s">
        <v>5337</v>
      </c>
      <c r="G964" s="6" t="s">
        <v>37</v>
      </c>
      <c r="H964" s="6" t="s">
        <v>38</v>
      </c>
      <c r="I964" s="8"/>
      <c r="J964" s="9">
        <v>1</v>
      </c>
      <c r="K964" s="9">
        <v>144</v>
      </c>
      <c r="L964" s="9">
        <v>2023</v>
      </c>
      <c r="M964" s="8" t="s">
        <v>5341</v>
      </c>
      <c r="N964" s="8" t="s">
        <v>40</v>
      </c>
      <c r="O964" s="8" t="s">
        <v>41</v>
      </c>
      <c r="P964" s="6" t="s">
        <v>75</v>
      </c>
      <c r="Q964" s="8" t="s">
        <v>76</v>
      </c>
      <c r="R964" s="10" t="s">
        <v>122</v>
      </c>
      <c r="S964" s="11"/>
      <c r="T964" s="6"/>
      <c r="U964" s="28" t="str">
        <f>HYPERLINK("https://media.infra-m.ru/2044/2044233/cover/2044233.jpg", "Обложка")</f>
        <v>Обложка</v>
      </c>
      <c r="V964" s="28" t="str">
        <f>HYPERLINK("https://znanium.com/catalog/product/2044233", "Ознакомиться")</f>
        <v>Ознакомиться</v>
      </c>
      <c r="W964" s="8" t="s">
        <v>114</v>
      </c>
      <c r="X964" s="6"/>
      <c r="Y964" s="6"/>
      <c r="Z964" s="6"/>
      <c r="AA964" s="6" t="s">
        <v>46</v>
      </c>
    </row>
    <row r="965" spans="1:27" s="4" customFormat="1" ht="51.95" customHeight="1">
      <c r="A965" s="5">
        <v>0</v>
      </c>
      <c r="B965" s="6" t="s">
        <v>5342</v>
      </c>
      <c r="C965" s="7">
        <v>310</v>
      </c>
      <c r="D965" s="8" t="s">
        <v>5343</v>
      </c>
      <c r="E965" s="8" t="s">
        <v>5344</v>
      </c>
      <c r="F965" s="8" t="s">
        <v>5345</v>
      </c>
      <c r="G965" s="6" t="s">
        <v>51</v>
      </c>
      <c r="H965" s="6" t="s">
        <v>1247</v>
      </c>
      <c r="I965" s="8"/>
      <c r="J965" s="9">
        <v>1</v>
      </c>
      <c r="K965" s="9">
        <v>96</v>
      </c>
      <c r="L965" s="9">
        <v>2019</v>
      </c>
      <c r="M965" s="8" t="s">
        <v>5346</v>
      </c>
      <c r="N965" s="8" t="s">
        <v>40</v>
      </c>
      <c r="O965" s="8" t="s">
        <v>41</v>
      </c>
      <c r="P965" s="6" t="s">
        <v>4298</v>
      </c>
      <c r="Q965" s="8" t="s">
        <v>76</v>
      </c>
      <c r="R965" s="10" t="s">
        <v>122</v>
      </c>
      <c r="S965" s="11"/>
      <c r="T965" s="6"/>
      <c r="U965" s="28" t="str">
        <f>HYPERLINK("https://media.infra-m.ru/1037/1037768/cover/1037768.jpg", "Обложка")</f>
        <v>Обложка</v>
      </c>
      <c r="V965" s="28" t="str">
        <f>HYPERLINK("https://znanium.com/catalog/product/1037768", "Ознакомиться")</f>
        <v>Ознакомиться</v>
      </c>
      <c r="W965" s="8"/>
      <c r="X965" s="6"/>
      <c r="Y965" s="6"/>
      <c r="Z965" s="6"/>
      <c r="AA965" s="6" t="s">
        <v>148</v>
      </c>
    </row>
    <row r="966" spans="1:27" s="4" customFormat="1" ht="51.95" customHeight="1">
      <c r="A966" s="5">
        <v>0</v>
      </c>
      <c r="B966" s="6" t="s">
        <v>5347</v>
      </c>
      <c r="C966" s="13">
        <v>3400</v>
      </c>
      <c r="D966" s="8" t="s">
        <v>5348</v>
      </c>
      <c r="E966" s="8" t="s">
        <v>5349</v>
      </c>
      <c r="F966" s="8" t="s">
        <v>5350</v>
      </c>
      <c r="G966" s="6" t="s">
        <v>58</v>
      </c>
      <c r="H966" s="6" t="s">
        <v>38</v>
      </c>
      <c r="I966" s="8"/>
      <c r="J966" s="9">
        <v>1</v>
      </c>
      <c r="K966" s="9">
        <v>808</v>
      </c>
      <c r="L966" s="9">
        <v>2024</v>
      </c>
      <c r="M966" s="8" t="s">
        <v>5351</v>
      </c>
      <c r="N966" s="8" t="s">
        <v>40</v>
      </c>
      <c r="O966" s="8" t="s">
        <v>41</v>
      </c>
      <c r="P966" s="6" t="s">
        <v>95</v>
      </c>
      <c r="Q966" s="8" t="s">
        <v>43</v>
      </c>
      <c r="R966" s="10" t="s">
        <v>5352</v>
      </c>
      <c r="S966" s="11"/>
      <c r="T966" s="6"/>
      <c r="U966" s="28" t="str">
        <f>HYPERLINK("https://media.infra-m.ru/2051/2051291/cover/2051291.jpg", "Обложка")</f>
        <v>Обложка</v>
      </c>
      <c r="V966" s="12"/>
      <c r="W966" s="8" t="s">
        <v>414</v>
      </c>
      <c r="X966" s="6" t="s">
        <v>99</v>
      </c>
      <c r="Y966" s="6"/>
      <c r="Z966" s="6"/>
      <c r="AA966" s="6" t="s">
        <v>4019</v>
      </c>
    </row>
    <row r="967" spans="1:27" s="4" customFormat="1" ht="51.95" customHeight="1">
      <c r="A967" s="5">
        <v>0</v>
      </c>
      <c r="B967" s="6" t="s">
        <v>5353</v>
      </c>
      <c r="C967" s="13">
        <v>1950</v>
      </c>
      <c r="D967" s="8" t="s">
        <v>5354</v>
      </c>
      <c r="E967" s="8" t="s">
        <v>5355</v>
      </c>
      <c r="F967" s="8" t="s">
        <v>5350</v>
      </c>
      <c r="G967" s="6" t="s">
        <v>58</v>
      </c>
      <c r="H967" s="6" t="s">
        <v>38</v>
      </c>
      <c r="I967" s="8"/>
      <c r="J967" s="9">
        <v>1</v>
      </c>
      <c r="K967" s="9">
        <v>440</v>
      </c>
      <c r="L967" s="9">
        <v>2024</v>
      </c>
      <c r="M967" s="8" t="s">
        <v>5356</v>
      </c>
      <c r="N967" s="8" t="s">
        <v>40</v>
      </c>
      <c r="O967" s="8" t="s">
        <v>41</v>
      </c>
      <c r="P967" s="6" t="s">
        <v>95</v>
      </c>
      <c r="Q967" s="8" t="s">
        <v>680</v>
      </c>
      <c r="R967" s="10" t="s">
        <v>5352</v>
      </c>
      <c r="S967" s="11"/>
      <c r="T967" s="6"/>
      <c r="U967" s="28" t="str">
        <f>HYPERLINK("https://media.infra-m.ru/2055/2055767/cover/2055767.jpg", "Обложка")</f>
        <v>Обложка</v>
      </c>
      <c r="V967" s="12"/>
      <c r="W967" s="8" t="s">
        <v>414</v>
      </c>
      <c r="X967" s="6" t="s">
        <v>99</v>
      </c>
      <c r="Y967" s="6"/>
      <c r="Z967" s="6"/>
      <c r="AA967" s="6" t="s">
        <v>4019</v>
      </c>
    </row>
    <row r="968" spans="1:27" s="4" customFormat="1" ht="51.95" customHeight="1">
      <c r="A968" s="5">
        <v>0</v>
      </c>
      <c r="B968" s="6" t="s">
        <v>5357</v>
      </c>
      <c r="C968" s="13">
        <v>2154.9</v>
      </c>
      <c r="D968" s="8" t="s">
        <v>5358</v>
      </c>
      <c r="E968" s="8" t="s">
        <v>5359</v>
      </c>
      <c r="F968" s="8" t="s">
        <v>5360</v>
      </c>
      <c r="G968" s="6" t="s">
        <v>58</v>
      </c>
      <c r="H968" s="6" t="s">
        <v>84</v>
      </c>
      <c r="I968" s="8" t="s">
        <v>185</v>
      </c>
      <c r="J968" s="9">
        <v>1</v>
      </c>
      <c r="K968" s="9">
        <v>478</v>
      </c>
      <c r="L968" s="9">
        <v>2023</v>
      </c>
      <c r="M968" s="8" t="s">
        <v>5361</v>
      </c>
      <c r="N968" s="8" t="s">
        <v>40</v>
      </c>
      <c r="O968" s="8" t="s">
        <v>41</v>
      </c>
      <c r="P968" s="6" t="s">
        <v>95</v>
      </c>
      <c r="Q968" s="8" t="s">
        <v>76</v>
      </c>
      <c r="R968" s="10" t="s">
        <v>113</v>
      </c>
      <c r="S968" s="11" t="s">
        <v>5362</v>
      </c>
      <c r="T968" s="6"/>
      <c r="U968" s="28" t="str">
        <f>HYPERLINK("https://media.infra-m.ru/1960/1960156/cover/1960156.jpg", "Обложка")</f>
        <v>Обложка</v>
      </c>
      <c r="V968" s="28" t="str">
        <f>HYPERLINK("https://znanium.com/catalog/product/1893946", "Ознакомиться")</f>
        <v>Ознакомиться</v>
      </c>
      <c r="W968" s="8" t="s">
        <v>1108</v>
      </c>
      <c r="X968" s="6"/>
      <c r="Y968" s="6"/>
      <c r="Z968" s="6"/>
      <c r="AA968" s="6" t="s">
        <v>62</v>
      </c>
    </row>
    <row r="969" spans="1:27" s="4" customFormat="1" ht="51.95" customHeight="1">
      <c r="A969" s="5">
        <v>0</v>
      </c>
      <c r="B969" s="6" t="s">
        <v>5363</v>
      </c>
      <c r="C969" s="13">
        <v>2214</v>
      </c>
      <c r="D969" s="8" t="s">
        <v>5364</v>
      </c>
      <c r="E969" s="8" t="s">
        <v>5359</v>
      </c>
      <c r="F969" s="8" t="s">
        <v>5365</v>
      </c>
      <c r="G969" s="6" t="s">
        <v>58</v>
      </c>
      <c r="H969" s="6" t="s">
        <v>427</v>
      </c>
      <c r="I969" s="8" t="s">
        <v>5154</v>
      </c>
      <c r="J969" s="9">
        <v>1</v>
      </c>
      <c r="K969" s="9">
        <v>480</v>
      </c>
      <c r="L969" s="9">
        <v>2024</v>
      </c>
      <c r="M969" s="8" t="s">
        <v>5366</v>
      </c>
      <c r="N969" s="8" t="s">
        <v>40</v>
      </c>
      <c r="O969" s="8" t="s">
        <v>41</v>
      </c>
      <c r="P969" s="6" t="s">
        <v>75</v>
      </c>
      <c r="Q969" s="8" t="s">
        <v>76</v>
      </c>
      <c r="R969" s="10" t="s">
        <v>5367</v>
      </c>
      <c r="S969" s="11" t="s">
        <v>5368</v>
      </c>
      <c r="T969" s="6"/>
      <c r="U969" s="28" t="str">
        <f>HYPERLINK("https://media.infra-m.ru/2118/2118055/cover/2118055.jpg", "Обложка")</f>
        <v>Обложка</v>
      </c>
      <c r="V969" s="12"/>
      <c r="W969" s="8" t="s">
        <v>3903</v>
      </c>
      <c r="X969" s="6"/>
      <c r="Y969" s="6"/>
      <c r="Z969" s="6"/>
      <c r="AA969" s="6" t="s">
        <v>298</v>
      </c>
    </row>
    <row r="970" spans="1:27" s="4" customFormat="1" ht="42" customHeight="1">
      <c r="A970" s="5">
        <v>0</v>
      </c>
      <c r="B970" s="6" t="s">
        <v>5369</v>
      </c>
      <c r="C970" s="7">
        <v>590</v>
      </c>
      <c r="D970" s="8" t="s">
        <v>5370</v>
      </c>
      <c r="E970" s="8" t="s">
        <v>5371</v>
      </c>
      <c r="F970" s="8" t="s">
        <v>5372</v>
      </c>
      <c r="G970" s="6" t="s">
        <v>51</v>
      </c>
      <c r="H970" s="6" t="s">
        <v>52</v>
      </c>
      <c r="I970" s="8"/>
      <c r="J970" s="9">
        <v>1</v>
      </c>
      <c r="K970" s="9">
        <v>190</v>
      </c>
      <c r="L970" s="9">
        <v>2018</v>
      </c>
      <c r="M970" s="8" t="s">
        <v>5373</v>
      </c>
      <c r="N970" s="8" t="s">
        <v>40</v>
      </c>
      <c r="O970" s="8" t="s">
        <v>41</v>
      </c>
      <c r="P970" s="6" t="s">
        <v>42</v>
      </c>
      <c r="Q970" s="8" t="s">
        <v>43</v>
      </c>
      <c r="R970" s="10" t="s">
        <v>304</v>
      </c>
      <c r="S970" s="11"/>
      <c r="T970" s="6"/>
      <c r="U970" s="28" t="str">
        <f>HYPERLINK("https://media.infra-m.ru/0970/0970146/cover/970146.jpg", "Обложка")</f>
        <v>Обложка</v>
      </c>
      <c r="V970" s="28" t="str">
        <f>HYPERLINK("https://znanium.com/catalog/product/970146", "Ознакомиться")</f>
        <v>Ознакомиться</v>
      </c>
      <c r="W970" s="8" t="s">
        <v>222</v>
      </c>
      <c r="X970" s="6"/>
      <c r="Y970" s="6"/>
      <c r="Z970" s="6"/>
      <c r="AA970" s="6" t="s">
        <v>298</v>
      </c>
    </row>
    <row r="971" spans="1:27" s="4" customFormat="1" ht="51.95" customHeight="1">
      <c r="A971" s="5">
        <v>0</v>
      </c>
      <c r="B971" s="6" t="s">
        <v>5374</v>
      </c>
      <c r="C971" s="7">
        <v>994.9</v>
      </c>
      <c r="D971" s="8" t="s">
        <v>5375</v>
      </c>
      <c r="E971" s="8" t="s">
        <v>5376</v>
      </c>
      <c r="F971" s="8" t="s">
        <v>840</v>
      </c>
      <c r="G971" s="6" t="s">
        <v>51</v>
      </c>
      <c r="H971" s="6" t="s">
        <v>38</v>
      </c>
      <c r="I971" s="8"/>
      <c r="J971" s="9">
        <v>1</v>
      </c>
      <c r="K971" s="9">
        <v>240</v>
      </c>
      <c r="L971" s="9">
        <v>2023</v>
      </c>
      <c r="M971" s="8" t="s">
        <v>5377</v>
      </c>
      <c r="N971" s="8" t="s">
        <v>40</v>
      </c>
      <c r="O971" s="8" t="s">
        <v>41</v>
      </c>
      <c r="P971" s="6" t="s">
        <v>42</v>
      </c>
      <c r="Q971" s="8" t="s">
        <v>43</v>
      </c>
      <c r="R971" s="10" t="s">
        <v>5378</v>
      </c>
      <c r="S971" s="11"/>
      <c r="T971" s="6"/>
      <c r="U971" s="28" t="str">
        <f>HYPERLINK("https://media.infra-m.ru/1876/1876388/cover/1876388.jpg", "Обложка")</f>
        <v>Обложка</v>
      </c>
      <c r="V971" s="28" t="str">
        <f>HYPERLINK("https://znanium.com/catalog/product/989509", "Ознакомиться")</f>
        <v>Ознакомиться</v>
      </c>
      <c r="W971" s="8" t="s">
        <v>726</v>
      </c>
      <c r="X971" s="6"/>
      <c r="Y971" s="6"/>
      <c r="Z971" s="6"/>
      <c r="AA971" s="6" t="s">
        <v>298</v>
      </c>
    </row>
    <row r="972" spans="1:27" s="4" customFormat="1" ht="42" customHeight="1">
      <c r="A972" s="5">
        <v>0</v>
      </c>
      <c r="B972" s="6" t="s">
        <v>5379</v>
      </c>
      <c r="C972" s="7">
        <v>844.9</v>
      </c>
      <c r="D972" s="8" t="s">
        <v>5380</v>
      </c>
      <c r="E972" s="8" t="s">
        <v>5381</v>
      </c>
      <c r="F972" s="8" t="s">
        <v>5382</v>
      </c>
      <c r="G972" s="6" t="s">
        <v>51</v>
      </c>
      <c r="H972" s="6" t="s">
        <v>84</v>
      </c>
      <c r="I972" s="8" t="s">
        <v>85</v>
      </c>
      <c r="J972" s="9">
        <v>1</v>
      </c>
      <c r="K972" s="9">
        <v>240</v>
      </c>
      <c r="L972" s="9">
        <v>2020</v>
      </c>
      <c r="M972" s="8" t="s">
        <v>5383</v>
      </c>
      <c r="N972" s="8" t="s">
        <v>40</v>
      </c>
      <c r="O972" s="8" t="s">
        <v>41</v>
      </c>
      <c r="P972" s="6" t="s">
        <v>75</v>
      </c>
      <c r="Q972" s="8" t="s">
        <v>43</v>
      </c>
      <c r="R972" s="10" t="s">
        <v>310</v>
      </c>
      <c r="S972" s="11"/>
      <c r="T972" s="6"/>
      <c r="U972" s="28" t="str">
        <f>HYPERLINK("https://media.infra-m.ru/1094/1094541/cover/1094541.jpg", "Обложка")</f>
        <v>Обложка</v>
      </c>
      <c r="V972" s="28" t="str">
        <f>HYPERLINK("https://znanium.com/catalog/product/884467", "Ознакомиться")</f>
        <v>Ознакомиться</v>
      </c>
      <c r="W972" s="8" t="s">
        <v>712</v>
      </c>
      <c r="X972" s="6"/>
      <c r="Y972" s="6"/>
      <c r="Z972" s="6"/>
      <c r="AA972" s="6" t="s">
        <v>289</v>
      </c>
    </row>
    <row r="973" spans="1:27" s="4" customFormat="1" ht="44.1" customHeight="1">
      <c r="A973" s="5">
        <v>0</v>
      </c>
      <c r="B973" s="6" t="s">
        <v>5384</v>
      </c>
      <c r="C973" s="7">
        <v>484.9</v>
      </c>
      <c r="D973" s="8" t="s">
        <v>5385</v>
      </c>
      <c r="E973" s="8" t="s">
        <v>5386</v>
      </c>
      <c r="F973" s="8" t="s">
        <v>5387</v>
      </c>
      <c r="G973" s="6" t="s">
        <v>51</v>
      </c>
      <c r="H973" s="6" t="s">
        <v>52</v>
      </c>
      <c r="I973" s="8"/>
      <c r="J973" s="9">
        <v>1</v>
      </c>
      <c r="K973" s="9">
        <v>118</v>
      </c>
      <c r="L973" s="9">
        <v>2021</v>
      </c>
      <c r="M973" s="8" t="s">
        <v>5388</v>
      </c>
      <c r="N973" s="8" t="s">
        <v>40</v>
      </c>
      <c r="O973" s="8" t="s">
        <v>41</v>
      </c>
      <c r="P973" s="6" t="s">
        <v>42</v>
      </c>
      <c r="Q973" s="8" t="s">
        <v>43</v>
      </c>
      <c r="R973" s="10" t="s">
        <v>5389</v>
      </c>
      <c r="S973" s="11"/>
      <c r="T973" s="6"/>
      <c r="U973" s="28" t="str">
        <f>HYPERLINK("https://media.infra-m.ru/1844/1844468/cover/1844468.jpg", "Обложка")</f>
        <v>Обложка</v>
      </c>
      <c r="V973" s="28" t="str">
        <f>HYPERLINK("https://znanium.com/catalog/product/1222072", "Ознакомиться")</f>
        <v>Ознакомиться</v>
      </c>
      <c r="W973" s="8" t="s">
        <v>4300</v>
      </c>
      <c r="X973" s="6"/>
      <c r="Y973" s="6"/>
      <c r="Z973" s="6"/>
      <c r="AA973" s="6" t="s">
        <v>46</v>
      </c>
    </row>
    <row r="974" spans="1:27" s="4" customFormat="1" ht="42" customHeight="1">
      <c r="A974" s="5">
        <v>0</v>
      </c>
      <c r="B974" s="6" t="s">
        <v>5390</v>
      </c>
      <c r="C974" s="7">
        <v>920</v>
      </c>
      <c r="D974" s="8" t="s">
        <v>5391</v>
      </c>
      <c r="E974" s="8" t="s">
        <v>5392</v>
      </c>
      <c r="F974" s="8" t="s">
        <v>5393</v>
      </c>
      <c r="G974" s="6" t="s">
        <v>37</v>
      </c>
      <c r="H974" s="6" t="s">
        <v>84</v>
      </c>
      <c r="I974" s="8"/>
      <c r="J974" s="9">
        <v>1</v>
      </c>
      <c r="K974" s="9">
        <v>249</v>
      </c>
      <c r="L974" s="9">
        <v>2021</v>
      </c>
      <c r="M974" s="8" t="s">
        <v>5394</v>
      </c>
      <c r="N974" s="8" t="s">
        <v>40</v>
      </c>
      <c r="O974" s="8" t="s">
        <v>41</v>
      </c>
      <c r="P974" s="6" t="s">
        <v>42</v>
      </c>
      <c r="Q974" s="8" t="s">
        <v>43</v>
      </c>
      <c r="R974" s="10" t="s">
        <v>304</v>
      </c>
      <c r="S974" s="11"/>
      <c r="T974" s="6"/>
      <c r="U974" s="28" t="str">
        <f>HYPERLINK("https://media.infra-m.ru/1230/1230615/cover/1230615.jpg", "Обложка")</f>
        <v>Обложка</v>
      </c>
      <c r="V974" s="28" t="str">
        <f>HYPERLINK("https://znanium.com/catalog/product/1230615", "Ознакомиться")</f>
        <v>Ознакомиться</v>
      </c>
      <c r="W974" s="8" t="s">
        <v>1362</v>
      </c>
      <c r="X974" s="6"/>
      <c r="Y974" s="6"/>
      <c r="Z974" s="6"/>
      <c r="AA974" s="6" t="s">
        <v>2477</v>
      </c>
    </row>
    <row r="975" spans="1:27" s="4" customFormat="1" ht="51.95" customHeight="1">
      <c r="A975" s="5">
        <v>0</v>
      </c>
      <c r="B975" s="6" t="s">
        <v>5395</v>
      </c>
      <c r="C975" s="13">
        <v>1194</v>
      </c>
      <c r="D975" s="8" t="s">
        <v>5396</v>
      </c>
      <c r="E975" s="8" t="s">
        <v>5397</v>
      </c>
      <c r="F975" s="8" t="s">
        <v>3164</v>
      </c>
      <c r="G975" s="6" t="s">
        <v>58</v>
      </c>
      <c r="H975" s="6" t="s">
        <v>38</v>
      </c>
      <c r="I975" s="8"/>
      <c r="J975" s="9">
        <v>1</v>
      </c>
      <c r="K975" s="9">
        <v>304</v>
      </c>
      <c r="L975" s="9">
        <v>2023</v>
      </c>
      <c r="M975" s="8" t="s">
        <v>5398</v>
      </c>
      <c r="N975" s="8" t="s">
        <v>40</v>
      </c>
      <c r="O975" s="8" t="s">
        <v>41</v>
      </c>
      <c r="P975" s="6" t="s">
        <v>42</v>
      </c>
      <c r="Q975" s="8" t="s">
        <v>296</v>
      </c>
      <c r="R975" s="10" t="s">
        <v>5399</v>
      </c>
      <c r="S975" s="11"/>
      <c r="T975" s="6"/>
      <c r="U975" s="28" t="str">
        <f>HYPERLINK("https://media.infra-m.ru/1877/1877665/cover/1877665.jpg", "Обложка")</f>
        <v>Обложка</v>
      </c>
      <c r="V975" s="28" t="str">
        <f>HYPERLINK("https://znanium.com/catalog/product/1220452", "Ознакомиться")</f>
        <v>Ознакомиться</v>
      </c>
      <c r="W975" s="8" t="s">
        <v>5400</v>
      </c>
      <c r="X975" s="6"/>
      <c r="Y975" s="6"/>
      <c r="Z975" s="6"/>
      <c r="AA975" s="6" t="s">
        <v>422</v>
      </c>
    </row>
    <row r="976" spans="1:27" s="4" customFormat="1" ht="42" customHeight="1">
      <c r="A976" s="5">
        <v>0</v>
      </c>
      <c r="B976" s="6" t="s">
        <v>5401</v>
      </c>
      <c r="C976" s="7">
        <v>774</v>
      </c>
      <c r="D976" s="8" t="s">
        <v>5402</v>
      </c>
      <c r="E976" s="8" t="s">
        <v>5403</v>
      </c>
      <c r="F976" s="8" t="s">
        <v>5404</v>
      </c>
      <c r="G976" s="6" t="s">
        <v>51</v>
      </c>
      <c r="H976" s="6" t="s">
        <v>84</v>
      </c>
      <c r="I976" s="8" t="s">
        <v>251</v>
      </c>
      <c r="J976" s="9">
        <v>1</v>
      </c>
      <c r="K976" s="9">
        <v>172</v>
      </c>
      <c r="L976" s="9">
        <v>2023</v>
      </c>
      <c r="M976" s="8" t="s">
        <v>5405</v>
      </c>
      <c r="N976" s="8" t="s">
        <v>40</v>
      </c>
      <c r="O976" s="8" t="s">
        <v>41</v>
      </c>
      <c r="P976" s="6" t="s">
        <v>42</v>
      </c>
      <c r="Q976" s="8" t="s">
        <v>43</v>
      </c>
      <c r="R976" s="10" t="s">
        <v>310</v>
      </c>
      <c r="S976" s="11"/>
      <c r="T976" s="6"/>
      <c r="U976" s="28" t="str">
        <f>HYPERLINK("https://media.infra-m.ru/2006/2006904/cover/2006904.jpg", "Обложка")</f>
        <v>Обложка</v>
      </c>
      <c r="V976" s="28" t="str">
        <f>HYPERLINK("https://znanium.com/catalog/product/1247125", "Ознакомиться")</f>
        <v>Ознакомиться</v>
      </c>
      <c r="W976" s="8" t="s">
        <v>987</v>
      </c>
      <c r="X976" s="6"/>
      <c r="Y976" s="6"/>
      <c r="Z976" s="6"/>
      <c r="AA976" s="6" t="s">
        <v>46</v>
      </c>
    </row>
    <row r="977" spans="1:27" s="4" customFormat="1" ht="42" customHeight="1">
      <c r="A977" s="5">
        <v>0</v>
      </c>
      <c r="B977" s="6" t="s">
        <v>5406</v>
      </c>
      <c r="C977" s="13">
        <v>1440</v>
      </c>
      <c r="D977" s="8" t="s">
        <v>5407</v>
      </c>
      <c r="E977" s="8" t="s">
        <v>5408</v>
      </c>
      <c r="F977" s="8" t="s">
        <v>5409</v>
      </c>
      <c r="G977" s="6" t="s">
        <v>37</v>
      </c>
      <c r="H977" s="6" t="s">
        <v>84</v>
      </c>
      <c r="I977" s="8" t="s">
        <v>1525</v>
      </c>
      <c r="J977" s="9">
        <v>1</v>
      </c>
      <c r="K977" s="9">
        <v>314</v>
      </c>
      <c r="L977" s="9">
        <v>2023</v>
      </c>
      <c r="M977" s="8" t="s">
        <v>5410</v>
      </c>
      <c r="N977" s="8" t="s">
        <v>40</v>
      </c>
      <c r="O977" s="8" t="s">
        <v>41</v>
      </c>
      <c r="P977" s="6" t="s">
        <v>42</v>
      </c>
      <c r="Q977" s="8" t="s">
        <v>43</v>
      </c>
      <c r="R977" s="10" t="s">
        <v>304</v>
      </c>
      <c r="S977" s="11"/>
      <c r="T977" s="6"/>
      <c r="U977" s="28" t="str">
        <f>HYPERLINK("https://media.infra-m.ru/1905/1905901/cover/1905901.jpg", "Обложка")</f>
        <v>Обложка</v>
      </c>
      <c r="V977" s="28" t="str">
        <f>HYPERLINK("https://znanium.com/catalog/product/1905901", "Ознакомиться")</f>
        <v>Ознакомиться</v>
      </c>
      <c r="W977" s="8" t="s">
        <v>1362</v>
      </c>
      <c r="X977" s="6"/>
      <c r="Y977" s="6"/>
      <c r="Z977" s="6"/>
      <c r="AA977" s="6" t="s">
        <v>1273</v>
      </c>
    </row>
    <row r="978" spans="1:27" s="4" customFormat="1" ht="21.95" customHeight="1">
      <c r="A978" s="5">
        <v>0</v>
      </c>
      <c r="B978" s="6" t="s">
        <v>5411</v>
      </c>
      <c r="C978" s="13">
        <v>1794</v>
      </c>
      <c r="D978" s="8" t="s">
        <v>5412</v>
      </c>
      <c r="E978" s="8" t="s">
        <v>5413</v>
      </c>
      <c r="F978" s="8" t="s">
        <v>5414</v>
      </c>
      <c r="G978" s="6" t="s">
        <v>58</v>
      </c>
      <c r="H978" s="6" t="s">
        <v>617</v>
      </c>
      <c r="I978" s="8" t="s">
        <v>1525</v>
      </c>
      <c r="J978" s="9">
        <v>1</v>
      </c>
      <c r="K978" s="9">
        <v>391</v>
      </c>
      <c r="L978" s="9">
        <v>2024</v>
      </c>
      <c r="M978" s="8" t="s">
        <v>5415</v>
      </c>
      <c r="N978" s="8" t="s">
        <v>40</v>
      </c>
      <c r="O978" s="8" t="s">
        <v>41</v>
      </c>
      <c r="P978" s="6" t="s">
        <v>1551</v>
      </c>
      <c r="Q978" s="8" t="s">
        <v>1670</v>
      </c>
      <c r="R978" s="10" t="s">
        <v>304</v>
      </c>
      <c r="S978" s="11"/>
      <c r="T978" s="6"/>
      <c r="U978" s="12"/>
      <c r="V978" s="28" t="str">
        <f>HYPERLINK("https://znanium.com/catalog/product/972446", "Ознакомиться")</f>
        <v>Ознакомиться</v>
      </c>
      <c r="W978" s="8" t="s">
        <v>1362</v>
      </c>
      <c r="X978" s="6"/>
      <c r="Y978" s="6"/>
      <c r="Z978" s="6"/>
      <c r="AA978" s="6" t="s">
        <v>1273</v>
      </c>
    </row>
    <row r="979" spans="1:27" s="4" customFormat="1" ht="51.95" customHeight="1">
      <c r="A979" s="5">
        <v>0</v>
      </c>
      <c r="B979" s="6" t="s">
        <v>5416</v>
      </c>
      <c r="C979" s="13">
        <v>1730</v>
      </c>
      <c r="D979" s="8" t="s">
        <v>5417</v>
      </c>
      <c r="E979" s="8" t="s">
        <v>5418</v>
      </c>
      <c r="F979" s="8" t="s">
        <v>5419</v>
      </c>
      <c r="G979" s="6" t="s">
        <v>37</v>
      </c>
      <c r="H979" s="6" t="s">
        <v>38</v>
      </c>
      <c r="I979" s="8"/>
      <c r="J979" s="9">
        <v>1</v>
      </c>
      <c r="K979" s="9">
        <v>384</v>
      </c>
      <c r="L979" s="9">
        <v>2023</v>
      </c>
      <c r="M979" s="8" t="s">
        <v>5420</v>
      </c>
      <c r="N979" s="8" t="s">
        <v>40</v>
      </c>
      <c r="O979" s="8" t="s">
        <v>41</v>
      </c>
      <c r="P979" s="6" t="s">
        <v>42</v>
      </c>
      <c r="Q979" s="8" t="s">
        <v>43</v>
      </c>
      <c r="R979" s="10" t="s">
        <v>452</v>
      </c>
      <c r="S979" s="11"/>
      <c r="T979" s="6"/>
      <c r="U979" s="28" t="str">
        <f>HYPERLINK("https://media.infra-m.ru/1931/1931471/cover/1931471.jpg", "Обложка")</f>
        <v>Обложка</v>
      </c>
      <c r="V979" s="28" t="str">
        <f>HYPERLINK("https://znanium.com/catalog/product/1931471", "Ознакомиться")</f>
        <v>Ознакомиться</v>
      </c>
      <c r="W979" s="8" t="s">
        <v>114</v>
      </c>
      <c r="X979" s="6"/>
      <c r="Y979" s="6"/>
      <c r="Z979" s="6"/>
      <c r="AA979" s="6" t="s">
        <v>46</v>
      </c>
    </row>
    <row r="980" spans="1:27" s="4" customFormat="1" ht="42" customHeight="1">
      <c r="A980" s="5">
        <v>0</v>
      </c>
      <c r="B980" s="6" t="s">
        <v>5421</v>
      </c>
      <c r="C980" s="13">
        <v>1874</v>
      </c>
      <c r="D980" s="8" t="s">
        <v>5422</v>
      </c>
      <c r="E980" s="8" t="s">
        <v>5423</v>
      </c>
      <c r="F980" s="8" t="s">
        <v>5424</v>
      </c>
      <c r="G980" s="6" t="s">
        <v>58</v>
      </c>
      <c r="H980" s="6" t="s">
        <v>617</v>
      </c>
      <c r="I980" s="8" t="s">
        <v>1525</v>
      </c>
      <c r="J980" s="9">
        <v>1</v>
      </c>
      <c r="K980" s="9">
        <v>408</v>
      </c>
      <c r="L980" s="9">
        <v>2024</v>
      </c>
      <c r="M980" s="8" t="s">
        <v>5425</v>
      </c>
      <c r="N980" s="8" t="s">
        <v>40</v>
      </c>
      <c r="O980" s="8" t="s">
        <v>41</v>
      </c>
      <c r="P980" s="6" t="s">
        <v>42</v>
      </c>
      <c r="Q980" s="8" t="s">
        <v>43</v>
      </c>
      <c r="R980" s="10" t="s">
        <v>304</v>
      </c>
      <c r="S980" s="11"/>
      <c r="T980" s="6"/>
      <c r="U980" s="28" t="str">
        <f>HYPERLINK("https://media.infra-m.ru/2056/2056641/cover/2056641.jpg", "Обложка")</f>
        <v>Обложка</v>
      </c>
      <c r="V980" s="28" t="str">
        <f>HYPERLINK("https://znanium.com/catalog/product/1068825", "Ознакомиться")</f>
        <v>Ознакомиться</v>
      </c>
      <c r="W980" s="8" t="s">
        <v>3206</v>
      </c>
      <c r="X980" s="6"/>
      <c r="Y980" s="6"/>
      <c r="Z980" s="6"/>
      <c r="AA980" s="6" t="s">
        <v>311</v>
      </c>
    </row>
    <row r="981" spans="1:27" s="4" customFormat="1" ht="51.95" customHeight="1">
      <c r="A981" s="5">
        <v>0</v>
      </c>
      <c r="B981" s="6" t="s">
        <v>5426</v>
      </c>
      <c r="C981" s="13">
        <v>1050</v>
      </c>
      <c r="D981" s="8" t="s">
        <v>5427</v>
      </c>
      <c r="E981" s="8" t="s">
        <v>5428</v>
      </c>
      <c r="F981" s="8" t="s">
        <v>5429</v>
      </c>
      <c r="G981" s="6" t="s">
        <v>58</v>
      </c>
      <c r="H981" s="6" t="s">
        <v>38</v>
      </c>
      <c r="I981" s="8"/>
      <c r="J981" s="9">
        <v>1</v>
      </c>
      <c r="K981" s="9">
        <v>232</v>
      </c>
      <c r="L981" s="9">
        <v>2023</v>
      </c>
      <c r="M981" s="8" t="s">
        <v>5430</v>
      </c>
      <c r="N981" s="8" t="s">
        <v>40</v>
      </c>
      <c r="O981" s="8" t="s">
        <v>41</v>
      </c>
      <c r="P981" s="6" t="s">
        <v>42</v>
      </c>
      <c r="Q981" s="8" t="s">
        <v>43</v>
      </c>
      <c r="R981" s="10" t="s">
        <v>5431</v>
      </c>
      <c r="S981" s="11"/>
      <c r="T981" s="6"/>
      <c r="U981" s="28" t="str">
        <f>HYPERLINK("https://media.infra-m.ru/1905/1905567/cover/1905567.jpg", "Обложка")</f>
        <v>Обложка</v>
      </c>
      <c r="V981" s="28" t="str">
        <f>HYPERLINK("https://znanium.com/catalog/product/1905567", "Ознакомиться")</f>
        <v>Ознакомиться</v>
      </c>
      <c r="W981" s="8" t="s">
        <v>3088</v>
      </c>
      <c r="X981" s="6"/>
      <c r="Y981" s="6"/>
      <c r="Z981" s="6"/>
      <c r="AA981" s="6" t="s">
        <v>408</v>
      </c>
    </row>
    <row r="982" spans="1:27" s="4" customFormat="1" ht="51.95" customHeight="1">
      <c r="A982" s="5">
        <v>0</v>
      </c>
      <c r="B982" s="6" t="s">
        <v>5432</v>
      </c>
      <c r="C982" s="7">
        <v>880</v>
      </c>
      <c r="D982" s="8" t="s">
        <v>5433</v>
      </c>
      <c r="E982" s="8" t="s">
        <v>5434</v>
      </c>
      <c r="F982" s="8" t="s">
        <v>5435</v>
      </c>
      <c r="G982" s="6" t="s">
        <v>51</v>
      </c>
      <c r="H982" s="6" t="s">
        <v>38</v>
      </c>
      <c r="I982" s="8"/>
      <c r="J982" s="9">
        <v>1</v>
      </c>
      <c r="K982" s="9">
        <v>208</v>
      </c>
      <c r="L982" s="9">
        <v>2022</v>
      </c>
      <c r="M982" s="8" t="s">
        <v>5436</v>
      </c>
      <c r="N982" s="8" t="s">
        <v>40</v>
      </c>
      <c r="O982" s="8" t="s">
        <v>41</v>
      </c>
      <c r="P982" s="6" t="s">
        <v>42</v>
      </c>
      <c r="Q982" s="8" t="s">
        <v>43</v>
      </c>
      <c r="R982" s="10" t="s">
        <v>122</v>
      </c>
      <c r="S982" s="11"/>
      <c r="T982" s="6"/>
      <c r="U982" s="28" t="str">
        <f>HYPERLINK("https://media.infra-m.ru/1877/1877355/cover/1877355.jpg", "Обложка")</f>
        <v>Обложка</v>
      </c>
      <c r="V982" s="28" t="str">
        <f>HYPERLINK("https://znanium.com/catalog/product/1840585", "Ознакомиться")</f>
        <v>Ознакомиться</v>
      </c>
      <c r="W982" s="8" t="s">
        <v>3167</v>
      </c>
      <c r="X982" s="6"/>
      <c r="Y982" s="6"/>
      <c r="Z982" s="6"/>
      <c r="AA982" s="6" t="s">
        <v>289</v>
      </c>
    </row>
    <row r="983" spans="1:27" s="4" customFormat="1" ht="42" customHeight="1">
      <c r="A983" s="5">
        <v>0</v>
      </c>
      <c r="B983" s="6" t="s">
        <v>5437</v>
      </c>
      <c r="C983" s="13">
        <v>1080</v>
      </c>
      <c r="D983" s="8" t="s">
        <v>5438</v>
      </c>
      <c r="E983" s="8" t="s">
        <v>5439</v>
      </c>
      <c r="F983" s="8" t="s">
        <v>593</v>
      </c>
      <c r="G983" s="6" t="s">
        <v>37</v>
      </c>
      <c r="H983" s="6" t="s">
        <v>38</v>
      </c>
      <c r="I983" s="8"/>
      <c r="J983" s="9">
        <v>1</v>
      </c>
      <c r="K983" s="9">
        <v>240</v>
      </c>
      <c r="L983" s="9">
        <v>2023</v>
      </c>
      <c r="M983" s="8" t="s">
        <v>5440</v>
      </c>
      <c r="N983" s="8" t="s">
        <v>40</v>
      </c>
      <c r="O983" s="8" t="s">
        <v>41</v>
      </c>
      <c r="P983" s="6" t="s">
        <v>42</v>
      </c>
      <c r="Q983" s="8" t="s">
        <v>43</v>
      </c>
      <c r="R983" s="10" t="s">
        <v>896</v>
      </c>
      <c r="S983" s="11"/>
      <c r="T983" s="6"/>
      <c r="U983" s="28" t="str">
        <f>HYPERLINK("https://media.infra-m.ru/1893/1893873/cover/1893873.jpg", "Обложка")</f>
        <v>Обложка</v>
      </c>
      <c r="V983" s="28" t="str">
        <f>HYPERLINK("https://znanium.com/catalog/product/1893873", "Ознакомиться")</f>
        <v>Ознакомиться</v>
      </c>
      <c r="W983" s="8" t="s">
        <v>114</v>
      </c>
      <c r="X983" s="6"/>
      <c r="Y983" s="6"/>
      <c r="Z983" s="6"/>
      <c r="AA983" s="6" t="s">
        <v>148</v>
      </c>
    </row>
    <row r="984" spans="1:27" s="4" customFormat="1" ht="42" customHeight="1">
      <c r="A984" s="5">
        <v>0</v>
      </c>
      <c r="B984" s="6" t="s">
        <v>5441</v>
      </c>
      <c r="C984" s="13">
        <v>1994.9</v>
      </c>
      <c r="D984" s="8" t="s">
        <v>5442</v>
      </c>
      <c r="E984" s="8" t="s">
        <v>5443</v>
      </c>
      <c r="F984" s="8" t="s">
        <v>5444</v>
      </c>
      <c r="G984" s="6" t="s">
        <v>58</v>
      </c>
      <c r="H984" s="6" t="s">
        <v>617</v>
      </c>
      <c r="I984" s="8" t="s">
        <v>1525</v>
      </c>
      <c r="J984" s="9">
        <v>1</v>
      </c>
      <c r="K984" s="9">
        <v>770</v>
      </c>
      <c r="L984" s="9">
        <v>2023</v>
      </c>
      <c r="M984" s="8" t="s">
        <v>5445</v>
      </c>
      <c r="N984" s="8" t="s">
        <v>40</v>
      </c>
      <c r="O984" s="8" t="s">
        <v>41</v>
      </c>
      <c r="P984" s="6" t="s">
        <v>42</v>
      </c>
      <c r="Q984" s="8" t="s">
        <v>43</v>
      </c>
      <c r="R984" s="10" t="s">
        <v>304</v>
      </c>
      <c r="S984" s="11"/>
      <c r="T984" s="6"/>
      <c r="U984" s="28" t="str">
        <f>HYPERLINK("https://media.infra-m.ru/1895/1895092/cover/1895092.jpg", "Обложка")</f>
        <v>Обложка</v>
      </c>
      <c r="V984" s="28" t="str">
        <f>HYPERLINK("https://znanium.com/catalog/product/1818641", "Ознакомиться")</f>
        <v>Ознакомиться</v>
      </c>
      <c r="W984" s="8" t="s">
        <v>1362</v>
      </c>
      <c r="X984" s="6"/>
      <c r="Y984" s="6"/>
      <c r="Z984" s="6"/>
      <c r="AA984" s="6" t="s">
        <v>693</v>
      </c>
    </row>
    <row r="985" spans="1:27" s="4" customFormat="1" ht="42" customHeight="1">
      <c r="A985" s="5">
        <v>0</v>
      </c>
      <c r="B985" s="6" t="s">
        <v>5446</v>
      </c>
      <c r="C985" s="7">
        <v>743</v>
      </c>
      <c r="D985" s="8" t="s">
        <v>5447</v>
      </c>
      <c r="E985" s="8" t="s">
        <v>5448</v>
      </c>
      <c r="F985" s="8" t="s">
        <v>5449</v>
      </c>
      <c r="G985" s="6" t="s">
        <v>37</v>
      </c>
      <c r="H985" s="6" t="s">
        <v>38</v>
      </c>
      <c r="I985" s="8"/>
      <c r="J985" s="9">
        <v>1</v>
      </c>
      <c r="K985" s="9">
        <v>240</v>
      </c>
      <c r="L985" s="9">
        <v>2024</v>
      </c>
      <c r="M985" s="8" t="s">
        <v>5450</v>
      </c>
      <c r="N985" s="8" t="s">
        <v>40</v>
      </c>
      <c r="O985" s="8" t="s">
        <v>41</v>
      </c>
      <c r="P985" s="6" t="s">
        <v>42</v>
      </c>
      <c r="Q985" s="8" t="s">
        <v>43</v>
      </c>
      <c r="R985" s="10" t="s">
        <v>304</v>
      </c>
      <c r="S985" s="11"/>
      <c r="T985" s="6"/>
      <c r="U985" s="28" t="str">
        <f>HYPERLINK("https://media.infra-m.ru/2087/2087286/cover/2087286.jpg", "Обложка")</f>
        <v>Обложка</v>
      </c>
      <c r="V985" s="28" t="str">
        <f>HYPERLINK("https://znanium.com/catalog/product/1088345", "Ознакомиться")</f>
        <v>Ознакомиться</v>
      </c>
      <c r="W985" s="8" t="s">
        <v>1356</v>
      </c>
      <c r="X985" s="6"/>
      <c r="Y985" s="6"/>
      <c r="Z985" s="6"/>
      <c r="AA985" s="6" t="s">
        <v>148</v>
      </c>
    </row>
    <row r="986" spans="1:27" s="4" customFormat="1" ht="42" customHeight="1">
      <c r="A986" s="5">
        <v>0</v>
      </c>
      <c r="B986" s="6" t="s">
        <v>5451</v>
      </c>
      <c r="C986" s="7">
        <v>990</v>
      </c>
      <c r="D986" s="8" t="s">
        <v>5452</v>
      </c>
      <c r="E986" s="8" t="s">
        <v>5453</v>
      </c>
      <c r="F986" s="8" t="s">
        <v>5454</v>
      </c>
      <c r="G986" s="6" t="s">
        <v>37</v>
      </c>
      <c r="H986" s="6" t="s">
        <v>38</v>
      </c>
      <c r="I986" s="8"/>
      <c r="J986" s="9">
        <v>1</v>
      </c>
      <c r="K986" s="9">
        <v>208</v>
      </c>
      <c r="L986" s="9">
        <v>2022</v>
      </c>
      <c r="M986" s="8" t="s">
        <v>5455</v>
      </c>
      <c r="N986" s="8" t="s">
        <v>40</v>
      </c>
      <c r="O986" s="8" t="s">
        <v>41</v>
      </c>
      <c r="P986" s="6" t="s">
        <v>42</v>
      </c>
      <c r="Q986" s="8" t="s">
        <v>43</v>
      </c>
      <c r="R986" s="10" t="s">
        <v>3647</v>
      </c>
      <c r="S986" s="11"/>
      <c r="T986" s="6"/>
      <c r="U986" s="28" t="str">
        <f>HYPERLINK("https://media.infra-m.ru/1865/1865264/cover/1865264.jpg", "Обложка")</f>
        <v>Обложка</v>
      </c>
      <c r="V986" s="28" t="str">
        <f>HYPERLINK("https://znanium.com/catalog/product/1865264", "Ознакомиться")</f>
        <v>Ознакомиться</v>
      </c>
      <c r="W986" s="8" t="s">
        <v>1362</v>
      </c>
      <c r="X986" s="6"/>
      <c r="Y986" s="6"/>
      <c r="Z986" s="6"/>
      <c r="AA986" s="6" t="s">
        <v>79</v>
      </c>
    </row>
    <row r="987" spans="1:27" s="4" customFormat="1" ht="42" customHeight="1">
      <c r="A987" s="5">
        <v>0</v>
      </c>
      <c r="B987" s="6" t="s">
        <v>5456</v>
      </c>
      <c r="C987" s="7">
        <v>520</v>
      </c>
      <c r="D987" s="8" t="s">
        <v>5457</v>
      </c>
      <c r="E987" s="8" t="s">
        <v>5458</v>
      </c>
      <c r="F987" s="8" t="s">
        <v>5459</v>
      </c>
      <c r="G987" s="6" t="s">
        <v>51</v>
      </c>
      <c r="H987" s="6" t="s">
        <v>84</v>
      </c>
      <c r="I987" s="8" t="s">
        <v>251</v>
      </c>
      <c r="J987" s="9">
        <v>1</v>
      </c>
      <c r="K987" s="9">
        <v>134</v>
      </c>
      <c r="L987" s="9">
        <v>2022</v>
      </c>
      <c r="M987" s="8" t="s">
        <v>5460</v>
      </c>
      <c r="N987" s="8" t="s">
        <v>40</v>
      </c>
      <c r="O987" s="8" t="s">
        <v>41</v>
      </c>
      <c r="P987" s="6" t="s">
        <v>42</v>
      </c>
      <c r="Q987" s="8" t="s">
        <v>43</v>
      </c>
      <c r="R987" s="10" t="s">
        <v>896</v>
      </c>
      <c r="S987" s="11"/>
      <c r="T987" s="6"/>
      <c r="U987" s="28" t="str">
        <f>HYPERLINK("https://media.infra-m.ru/1856/1856797/cover/1856797.jpg", "Обложка")</f>
        <v>Обложка</v>
      </c>
      <c r="V987" s="28" t="str">
        <f>HYPERLINK("https://znanium.com/catalog/product/1856797", "Ознакомиться")</f>
        <v>Ознакомиться</v>
      </c>
      <c r="W987" s="8" t="s">
        <v>5461</v>
      </c>
      <c r="X987" s="6"/>
      <c r="Y987" s="6"/>
      <c r="Z987" s="6"/>
      <c r="AA987" s="6" t="s">
        <v>46</v>
      </c>
    </row>
    <row r="988" spans="1:27" s="4" customFormat="1" ht="44.1" customHeight="1">
      <c r="A988" s="5">
        <v>0</v>
      </c>
      <c r="B988" s="6" t="s">
        <v>5462</v>
      </c>
      <c r="C988" s="13">
        <v>1560</v>
      </c>
      <c r="D988" s="8" t="s">
        <v>5463</v>
      </c>
      <c r="E988" s="8" t="s">
        <v>5464</v>
      </c>
      <c r="F988" s="8" t="s">
        <v>5465</v>
      </c>
      <c r="G988" s="6" t="s">
        <v>37</v>
      </c>
      <c r="H988" s="6" t="s">
        <v>84</v>
      </c>
      <c r="I988" s="8" t="s">
        <v>251</v>
      </c>
      <c r="J988" s="9">
        <v>1</v>
      </c>
      <c r="K988" s="9">
        <v>399</v>
      </c>
      <c r="L988" s="9">
        <v>2022</v>
      </c>
      <c r="M988" s="8" t="s">
        <v>5466</v>
      </c>
      <c r="N988" s="8" t="s">
        <v>40</v>
      </c>
      <c r="O988" s="8" t="s">
        <v>41</v>
      </c>
      <c r="P988" s="6" t="s">
        <v>42</v>
      </c>
      <c r="Q988" s="8" t="s">
        <v>43</v>
      </c>
      <c r="R988" s="10" t="s">
        <v>2195</v>
      </c>
      <c r="S988" s="11"/>
      <c r="T988" s="6"/>
      <c r="U988" s="28" t="str">
        <f>HYPERLINK("https://media.infra-m.ru/1819/1819254/cover/1819254.jpg", "Обложка")</f>
        <v>Обложка</v>
      </c>
      <c r="V988" s="28" t="str">
        <f>HYPERLINK("https://znanium.com/catalog/product/1819254", "Ознакомиться")</f>
        <v>Ознакомиться</v>
      </c>
      <c r="W988" s="8" t="s">
        <v>3659</v>
      </c>
      <c r="X988" s="6"/>
      <c r="Y988" s="6"/>
      <c r="Z988" s="6"/>
      <c r="AA988" s="6" t="s">
        <v>62</v>
      </c>
    </row>
    <row r="989" spans="1:27" s="4" customFormat="1" ht="42" customHeight="1">
      <c r="A989" s="5">
        <v>0</v>
      </c>
      <c r="B989" s="6" t="s">
        <v>5467</v>
      </c>
      <c r="C989" s="7">
        <v>920</v>
      </c>
      <c r="D989" s="8" t="s">
        <v>5468</v>
      </c>
      <c r="E989" s="8" t="s">
        <v>5469</v>
      </c>
      <c r="F989" s="8" t="s">
        <v>1739</v>
      </c>
      <c r="G989" s="6" t="s">
        <v>37</v>
      </c>
      <c r="H989" s="6" t="s">
        <v>84</v>
      </c>
      <c r="I989" s="8" t="s">
        <v>85</v>
      </c>
      <c r="J989" s="9">
        <v>1</v>
      </c>
      <c r="K989" s="9">
        <v>270</v>
      </c>
      <c r="L989" s="9">
        <v>2019</v>
      </c>
      <c r="M989" s="8" t="s">
        <v>5470</v>
      </c>
      <c r="N989" s="8" t="s">
        <v>40</v>
      </c>
      <c r="O989" s="8" t="s">
        <v>41</v>
      </c>
      <c r="P989" s="6" t="s">
        <v>811</v>
      </c>
      <c r="Q989" s="8" t="s">
        <v>43</v>
      </c>
      <c r="R989" s="10" t="s">
        <v>1741</v>
      </c>
      <c r="S989" s="11"/>
      <c r="T989" s="6"/>
      <c r="U989" s="28" t="str">
        <f>HYPERLINK("https://media.infra-m.ru/0982/0982650/cover/982650.jpg", "Обложка")</f>
        <v>Обложка</v>
      </c>
      <c r="V989" s="28" t="str">
        <f>HYPERLINK("https://znanium.com/catalog/product/982650", "Ознакомиться")</f>
        <v>Ознакомиться</v>
      </c>
      <c r="W989" s="8" t="s">
        <v>45</v>
      </c>
      <c r="X989" s="6"/>
      <c r="Y989" s="6"/>
      <c r="Z989" s="6"/>
      <c r="AA989" s="6" t="s">
        <v>88</v>
      </c>
    </row>
    <row r="990" spans="1:27" s="4" customFormat="1" ht="42" customHeight="1">
      <c r="A990" s="5">
        <v>0</v>
      </c>
      <c r="B990" s="6" t="s">
        <v>5471</v>
      </c>
      <c r="C990" s="7">
        <v>494.9</v>
      </c>
      <c r="D990" s="8" t="s">
        <v>5472</v>
      </c>
      <c r="E990" s="8" t="s">
        <v>5473</v>
      </c>
      <c r="F990" s="8" t="s">
        <v>5474</v>
      </c>
      <c r="G990" s="6" t="s">
        <v>58</v>
      </c>
      <c r="H990" s="6" t="s">
        <v>84</v>
      </c>
      <c r="I990" s="8" t="s">
        <v>251</v>
      </c>
      <c r="J990" s="9">
        <v>1</v>
      </c>
      <c r="K990" s="9">
        <v>140</v>
      </c>
      <c r="L990" s="9">
        <v>2020</v>
      </c>
      <c r="M990" s="8" t="s">
        <v>5475</v>
      </c>
      <c r="N990" s="8" t="s">
        <v>40</v>
      </c>
      <c r="O990" s="8" t="s">
        <v>41</v>
      </c>
      <c r="P990" s="6" t="s">
        <v>42</v>
      </c>
      <c r="Q990" s="8" t="s">
        <v>43</v>
      </c>
      <c r="R990" s="10" t="s">
        <v>896</v>
      </c>
      <c r="S990" s="11"/>
      <c r="T990" s="6"/>
      <c r="U990" s="28" t="str">
        <f>HYPERLINK("https://media.infra-m.ru/1088/1088231/cover/1088231.jpg", "Обложка")</f>
        <v>Обложка</v>
      </c>
      <c r="V990" s="28" t="str">
        <f>HYPERLINK("https://znanium.com/catalog/product/926495", "Ознакомиться")</f>
        <v>Ознакомиться</v>
      </c>
      <c r="W990" s="8" t="s">
        <v>334</v>
      </c>
      <c r="X990" s="6"/>
      <c r="Y990" s="6"/>
      <c r="Z990" s="6"/>
      <c r="AA990" s="6" t="s">
        <v>88</v>
      </c>
    </row>
    <row r="991" spans="1:27" s="4" customFormat="1" ht="44.1" customHeight="1">
      <c r="A991" s="5">
        <v>0</v>
      </c>
      <c r="B991" s="6" t="s">
        <v>5476</v>
      </c>
      <c r="C991" s="7">
        <v>906.9</v>
      </c>
      <c r="D991" s="8" t="s">
        <v>5477</v>
      </c>
      <c r="E991" s="8" t="s">
        <v>5478</v>
      </c>
      <c r="F991" s="8" t="s">
        <v>5479</v>
      </c>
      <c r="G991" s="6" t="s">
        <v>1726</v>
      </c>
      <c r="H991" s="6" t="s">
        <v>38</v>
      </c>
      <c r="I991" s="8"/>
      <c r="J991" s="14">
        <v>0</v>
      </c>
      <c r="K991" s="9">
        <v>336</v>
      </c>
      <c r="L991" s="9">
        <v>2016</v>
      </c>
      <c r="M991" s="8" t="s">
        <v>5480</v>
      </c>
      <c r="N991" s="8" t="s">
        <v>40</v>
      </c>
      <c r="O991" s="8" t="s">
        <v>41</v>
      </c>
      <c r="P991" s="6" t="s">
        <v>811</v>
      </c>
      <c r="Q991" s="8" t="s">
        <v>296</v>
      </c>
      <c r="R991" s="10"/>
      <c r="S991" s="11"/>
      <c r="T991" s="6"/>
      <c r="U991" s="28" t="str">
        <f>HYPERLINK("https://media.infra-m.ru/0765/0765882/cover/765882.jpg", "Обложка")</f>
        <v>Обложка</v>
      </c>
      <c r="V991" s="12"/>
      <c r="W991" s="8" t="s">
        <v>1400</v>
      </c>
      <c r="X991" s="6"/>
      <c r="Y991" s="6"/>
      <c r="Z991" s="6"/>
      <c r="AA991" s="6" t="s">
        <v>88</v>
      </c>
    </row>
    <row r="992" spans="1:27" s="4" customFormat="1" ht="51.95" customHeight="1">
      <c r="A992" s="5">
        <v>0</v>
      </c>
      <c r="B992" s="6" t="s">
        <v>5481</v>
      </c>
      <c r="C992" s="7">
        <v>860</v>
      </c>
      <c r="D992" s="8" t="s">
        <v>5482</v>
      </c>
      <c r="E992" s="8" t="s">
        <v>5483</v>
      </c>
      <c r="F992" s="8" t="s">
        <v>5484</v>
      </c>
      <c r="G992" s="6" t="s">
        <v>51</v>
      </c>
      <c r="H992" s="6" t="s">
        <v>84</v>
      </c>
      <c r="I992" s="8" t="s">
        <v>251</v>
      </c>
      <c r="J992" s="9">
        <v>1</v>
      </c>
      <c r="K992" s="9">
        <v>225</v>
      </c>
      <c r="L992" s="9">
        <v>2021</v>
      </c>
      <c r="M992" s="8" t="s">
        <v>5485</v>
      </c>
      <c r="N992" s="8" t="s">
        <v>40</v>
      </c>
      <c r="O992" s="8" t="s">
        <v>41</v>
      </c>
      <c r="P992" s="6" t="s">
        <v>42</v>
      </c>
      <c r="Q992" s="8" t="s">
        <v>43</v>
      </c>
      <c r="R992" s="10" t="s">
        <v>5486</v>
      </c>
      <c r="S992" s="11"/>
      <c r="T992" s="6"/>
      <c r="U992" s="28" t="str">
        <f>HYPERLINK("https://media.infra-m.ru/1383/1383687/cover/1383687.jpg", "Обложка")</f>
        <v>Обложка</v>
      </c>
      <c r="V992" s="28" t="str">
        <f>HYPERLINK("https://znanium.com/catalog/product/1383687", "Ознакомиться")</f>
        <v>Ознакомиться</v>
      </c>
      <c r="W992" s="8" t="s">
        <v>1356</v>
      </c>
      <c r="X992" s="6"/>
      <c r="Y992" s="6"/>
      <c r="Z992" s="6"/>
      <c r="AA992" s="6" t="s">
        <v>62</v>
      </c>
    </row>
    <row r="993" spans="1:27" s="4" customFormat="1" ht="42" customHeight="1">
      <c r="A993" s="5">
        <v>0</v>
      </c>
      <c r="B993" s="6" t="s">
        <v>5487</v>
      </c>
      <c r="C993" s="13">
        <v>3655</v>
      </c>
      <c r="D993" s="8" t="s">
        <v>5488</v>
      </c>
      <c r="E993" s="8" t="s">
        <v>5489</v>
      </c>
      <c r="F993" s="8" t="s">
        <v>5490</v>
      </c>
      <c r="G993" s="6" t="s">
        <v>58</v>
      </c>
      <c r="H993" s="6" t="s">
        <v>38</v>
      </c>
      <c r="I993" s="8"/>
      <c r="J993" s="9">
        <v>1</v>
      </c>
      <c r="K993" s="9">
        <v>792</v>
      </c>
      <c r="L993" s="9">
        <v>2024</v>
      </c>
      <c r="M993" s="8" t="s">
        <v>5491</v>
      </c>
      <c r="N993" s="8" t="s">
        <v>40</v>
      </c>
      <c r="O993" s="8" t="s">
        <v>41</v>
      </c>
      <c r="P993" s="6" t="s">
        <v>42</v>
      </c>
      <c r="Q993" s="8" t="s">
        <v>43</v>
      </c>
      <c r="R993" s="10" t="s">
        <v>304</v>
      </c>
      <c r="S993" s="11"/>
      <c r="T993" s="6"/>
      <c r="U993" s="28" t="str">
        <f>HYPERLINK("https://media.infra-m.ru/2090/2090047/cover/2090047.jpg", "Обложка")</f>
        <v>Обложка</v>
      </c>
      <c r="V993" s="28" t="str">
        <f>HYPERLINK("https://znanium.com/catalog/product/2090047", "Ознакомиться")</f>
        <v>Ознакомиться</v>
      </c>
      <c r="W993" s="8"/>
      <c r="X993" s="6"/>
      <c r="Y993" s="6"/>
      <c r="Z993" s="6"/>
      <c r="AA993" s="6" t="s">
        <v>343</v>
      </c>
    </row>
    <row r="994" spans="1:27" s="4" customFormat="1" ht="42" customHeight="1">
      <c r="A994" s="5">
        <v>0</v>
      </c>
      <c r="B994" s="6" t="s">
        <v>5492</v>
      </c>
      <c r="C994" s="7">
        <v>864</v>
      </c>
      <c r="D994" s="8" t="s">
        <v>5493</v>
      </c>
      <c r="E994" s="8" t="s">
        <v>5494</v>
      </c>
      <c r="F994" s="8" t="s">
        <v>5495</v>
      </c>
      <c r="G994" s="6" t="s">
        <v>58</v>
      </c>
      <c r="H994" s="6" t="s">
        <v>38</v>
      </c>
      <c r="I994" s="8"/>
      <c r="J994" s="9">
        <v>1</v>
      </c>
      <c r="K994" s="9">
        <v>192</v>
      </c>
      <c r="L994" s="9">
        <v>2023</v>
      </c>
      <c r="M994" s="8" t="s">
        <v>5496</v>
      </c>
      <c r="N994" s="8" t="s">
        <v>40</v>
      </c>
      <c r="O994" s="8" t="s">
        <v>41</v>
      </c>
      <c r="P994" s="6" t="s">
        <v>42</v>
      </c>
      <c r="Q994" s="8" t="s">
        <v>43</v>
      </c>
      <c r="R994" s="10" t="s">
        <v>2085</v>
      </c>
      <c r="S994" s="11"/>
      <c r="T994" s="6"/>
      <c r="U994" s="28" t="str">
        <f>HYPERLINK("https://media.infra-m.ru/1872/1872520/cover/1872520.jpg", "Обложка")</f>
        <v>Обложка</v>
      </c>
      <c r="V994" s="28" t="str">
        <f>HYPERLINK("https://znanium.com/catalog/product/1058698", "Ознакомиться")</f>
        <v>Ознакомиться</v>
      </c>
      <c r="W994" s="8" t="s">
        <v>114</v>
      </c>
      <c r="X994" s="6"/>
      <c r="Y994" s="6"/>
      <c r="Z994" s="6"/>
      <c r="AA994" s="6" t="s">
        <v>46</v>
      </c>
    </row>
    <row r="995" spans="1:27" s="4" customFormat="1" ht="51.95" customHeight="1">
      <c r="A995" s="5">
        <v>0</v>
      </c>
      <c r="B995" s="6" t="s">
        <v>5497</v>
      </c>
      <c r="C995" s="7">
        <v>674.9</v>
      </c>
      <c r="D995" s="8" t="s">
        <v>5498</v>
      </c>
      <c r="E995" s="8" t="s">
        <v>5499</v>
      </c>
      <c r="F995" s="8" t="s">
        <v>5500</v>
      </c>
      <c r="G995" s="6" t="s">
        <v>51</v>
      </c>
      <c r="H995" s="6" t="s">
        <v>38</v>
      </c>
      <c r="I995" s="8"/>
      <c r="J995" s="9">
        <v>1</v>
      </c>
      <c r="K995" s="9">
        <v>160</v>
      </c>
      <c r="L995" s="9">
        <v>2022</v>
      </c>
      <c r="M995" s="8" t="s">
        <v>5501</v>
      </c>
      <c r="N995" s="8" t="s">
        <v>40</v>
      </c>
      <c r="O995" s="8" t="s">
        <v>41</v>
      </c>
      <c r="P995" s="6" t="s">
        <v>42</v>
      </c>
      <c r="Q995" s="8" t="s">
        <v>296</v>
      </c>
      <c r="R995" s="10" t="s">
        <v>5502</v>
      </c>
      <c r="S995" s="11"/>
      <c r="T995" s="6"/>
      <c r="U995" s="28" t="str">
        <f>HYPERLINK("https://media.infra-m.ru/1068/1068676/cover/1068676.jpg", "Обложка")</f>
        <v>Обложка</v>
      </c>
      <c r="V995" s="28" t="str">
        <f>HYPERLINK("https://znanium.com/catalog/product/1068676", "Ознакомиться")</f>
        <v>Ознакомиться</v>
      </c>
      <c r="W995" s="8" t="s">
        <v>114</v>
      </c>
      <c r="X995" s="6"/>
      <c r="Y995" s="6"/>
      <c r="Z995" s="6"/>
      <c r="AA995" s="6" t="s">
        <v>422</v>
      </c>
    </row>
    <row r="996" spans="1:27" s="4" customFormat="1" ht="42" customHeight="1">
      <c r="A996" s="5">
        <v>0</v>
      </c>
      <c r="B996" s="6" t="s">
        <v>5503</v>
      </c>
      <c r="C996" s="7">
        <v>740</v>
      </c>
      <c r="D996" s="8" t="s">
        <v>5504</v>
      </c>
      <c r="E996" s="8" t="s">
        <v>5505</v>
      </c>
      <c r="F996" s="8" t="s">
        <v>593</v>
      </c>
      <c r="G996" s="6" t="s">
        <v>37</v>
      </c>
      <c r="H996" s="6" t="s">
        <v>38</v>
      </c>
      <c r="I996" s="8"/>
      <c r="J996" s="9">
        <v>1</v>
      </c>
      <c r="K996" s="9">
        <v>176</v>
      </c>
      <c r="L996" s="9">
        <v>2022</v>
      </c>
      <c r="M996" s="8" t="s">
        <v>5506</v>
      </c>
      <c r="N996" s="8" t="s">
        <v>40</v>
      </c>
      <c r="O996" s="8" t="s">
        <v>41</v>
      </c>
      <c r="P996" s="6" t="s">
        <v>42</v>
      </c>
      <c r="Q996" s="8" t="s">
        <v>43</v>
      </c>
      <c r="R996" s="10" t="s">
        <v>5507</v>
      </c>
      <c r="S996" s="11"/>
      <c r="T996" s="6"/>
      <c r="U996" s="28" t="str">
        <f>HYPERLINK("https://media.infra-m.ru/1875/1875436/cover/1875436.jpg", "Обложка")</f>
        <v>Обложка</v>
      </c>
      <c r="V996" s="28" t="str">
        <f>HYPERLINK("https://znanium.com/catalog/product/1875436", "Ознакомиться")</f>
        <v>Ознакомиться</v>
      </c>
      <c r="W996" s="8" t="s">
        <v>114</v>
      </c>
      <c r="X996" s="6"/>
      <c r="Y996" s="6"/>
      <c r="Z996" s="6"/>
      <c r="AA996" s="6" t="s">
        <v>79</v>
      </c>
    </row>
    <row r="997" spans="1:27" s="4" customFormat="1" ht="44.1" customHeight="1">
      <c r="A997" s="5">
        <v>0</v>
      </c>
      <c r="B997" s="6" t="s">
        <v>5508</v>
      </c>
      <c r="C997" s="13">
        <v>1150</v>
      </c>
      <c r="D997" s="8" t="s">
        <v>5509</v>
      </c>
      <c r="E997" s="8" t="s">
        <v>5510</v>
      </c>
      <c r="F997" s="8" t="s">
        <v>5511</v>
      </c>
      <c r="G997" s="6" t="s">
        <v>51</v>
      </c>
      <c r="H997" s="6" t="s">
        <v>38</v>
      </c>
      <c r="I997" s="8"/>
      <c r="J997" s="9">
        <v>1</v>
      </c>
      <c r="K997" s="9">
        <v>256</v>
      </c>
      <c r="L997" s="9">
        <v>2023</v>
      </c>
      <c r="M997" s="8" t="s">
        <v>5512</v>
      </c>
      <c r="N997" s="8" t="s">
        <v>40</v>
      </c>
      <c r="O997" s="8" t="s">
        <v>41</v>
      </c>
      <c r="P997" s="6" t="s">
        <v>42</v>
      </c>
      <c r="Q997" s="8" t="s">
        <v>296</v>
      </c>
      <c r="R997" s="10" t="s">
        <v>699</v>
      </c>
      <c r="S997" s="11"/>
      <c r="T997" s="6"/>
      <c r="U997" s="28" t="str">
        <f>HYPERLINK("https://media.infra-m.ru/1986/1986693/cover/1986693.jpg", "Обложка")</f>
        <v>Обложка</v>
      </c>
      <c r="V997" s="28" t="str">
        <f>HYPERLINK("https://znanium.com/catalog/product/1986693", "Ознакомиться")</f>
        <v>Ознакомиться</v>
      </c>
      <c r="W997" s="8" t="s">
        <v>114</v>
      </c>
      <c r="X997" s="6"/>
      <c r="Y997" s="6"/>
      <c r="Z997" s="6"/>
      <c r="AA997" s="6" t="s">
        <v>298</v>
      </c>
    </row>
    <row r="998" spans="1:27" s="4" customFormat="1" ht="42" customHeight="1">
      <c r="A998" s="5">
        <v>0</v>
      </c>
      <c r="B998" s="6" t="s">
        <v>5513</v>
      </c>
      <c r="C998" s="13">
        <v>1300</v>
      </c>
      <c r="D998" s="8" t="s">
        <v>5514</v>
      </c>
      <c r="E998" s="8" t="s">
        <v>5515</v>
      </c>
      <c r="F998" s="8" t="s">
        <v>593</v>
      </c>
      <c r="G998" s="6" t="s">
        <v>37</v>
      </c>
      <c r="H998" s="6" t="s">
        <v>38</v>
      </c>
      <c r="I998" s="8"/>
      <c r="J998" s="9">
        <v>1</v>
      </c>
      <c r="K998" s="9">
        <v>288</v>
      </c>
      <c r="L998" s="9">
        <v>2023</v>
      </c>
      <c r="M998" s="8" t="s">
        <v>5516</v>
      </c>
      <c r="N998" s="8" t="s">
        <v>40</v>
      </c>
      <c r="O998" s="8" t="s">
        <v>41</v>
      </c>
      <c r="P998" s="6" t="s">
        <v>42</v>
      </c>
      <c r="Q998" s="8" t="s">
        <v>43</v>
      </c>
      <c r="R998" s="10" t="s">
        <v>896</v>
      </c>
      <c r="S998" s="11"/>
      <c r="T998" s="6"/>
      <c r="U998" s="28" t="str">
        <f>HYPERLINK("https://media.infra-m.ru/1905/1905970/cover/1905970.jpg", "Обложка")</f>
        <v>Обложка</v>
      </c>
      <c r="V998" s="28" t="str">
        <f>HYPERLINK("https://znanium.com/catalog/product/1905970", "Ознакомиться")</f>
        <v>Ознакомиться</v>
      </c>
      <c r="W998" s="8" t="s">
        <v>114</v>
      </c>
      <c r="X998" s="6"/>
      <c r="Y998" s="6"/>
      <c r="Z998" s="6"/>
      <c r="AA998" s="6" t="s">
        <v>148</v>
      </c>
    </row>
    <row r="999" spans="1:27" s="4" customFormat="1" ht="42" customHeight="1">
      <c r="A999" s="5">
        <v>0</v>
      </c>
      <c r="B999" s="6" t="s">
        <v>5517</v>
      </c>
      <c r="C999" s="7">
        <v>590</v>
      </c>
      <c r="D999" s="8" t="s">
        <v>5518</v>
      </c>
      <c r="E999" s="8" t="s">
        <v>5519</v>
      </c>
      <c r="F999" s="8" t="s">
        <v>5520</v>
      </c>
      <c r="G999" s="6" t="s">
        <v>51</v>
      </c>
      <c r="H999" s="6" t="s">
        <v>38</v>
      </c>
      <c r="I999" s="8"/>
      <c r="J999" s="9">
        <v>1</v>
      </c>
      <c r="K999" s="9">
        <v>128</v>
      </c>
      <c r="L999" s="9">
        <v>2024</v>
      </c>
      <c r="M999" s="8" t="s">
        <v>5521</v>
      </c>
      <c r="N999" s="8" t="s">
        <v>40</v>
      </c>
      <c r="O999" s="8" t="s">
        <v>41</v>
      </c>
      <c r="P999" s="6" t="s">
        <v>42</v>
      </c>
      <c r="Q999" s="8" t="s">
        <v>43</v>
      </c>
      <c r="R999" s="10" t="s">
        <v>1339</v>
      </c>
      <c r="S999" s="11"/>
      <c r="T999" s="6"/>
      <c r="U999" s="28" t="str">
        <f>HYPERLINK("https://media.infra-m.ru/2115/2115734/cover/2115734.jpg", "Обложка")</f>
        <v>Обложка</v>
      </c>
      <c r="V999" s="28" t="str">
        <f>HYPERLINK("https://znanium.com/catalog/product/1841681", "Ознакомиться")</f>
        <v>Ознакомиться</v>
      </c>
      <c r="W999" s="8" t="s">
        <v>114</v>
      </c>
      <c r="X999" s="6"/>
      <c r="Y999" s="6"/>
      <c r="Z999" s="6"/>
      <c r="AA999" s="6" t="s">
        <v>622</v>
      </c>
    </row>
    <row r="1000" spans="1:27" s="4" customFormat="1" ht="42" customHeight="1">
      <c r="A1000" s="5">
        <v>0</v>
      </c>
      <c r="B1000" s="6" t="s">
        <v>5522</v>
      </c>
      <c r="C1000" s="7">
        <v>830</v>
      </c>
      <c r="D1000" s="8" t="s">
        <v>5523</v>
      </c>
      <c r="E1000" s="8" t="s">
        <v>5524</v>
      </c>
      <c r="F1000" s="8" t="s">
        <v>1549</v>
      </c>
      <c r="G1000" s="6" t="s">
        <v>37</v>
      </c>
      <c r="H1000" s="6" t="s">
        <v>38</v>
      </c>
      <c r="I1000" s="8"/>
      <c r="J1000" s="9">
        <v>1</v>
      </c>
      <c r="K1000" s="9">
        <v>184</v>
      </c>
      <c r="L1000" s="9">
        <v>2023</v>
      </c>
      <c r="M1000" s="8" t="s">
        <v>5525</v>
      </c>
      <c r="N1000" s="8" t="s">
        <v>40</v>
      </c>
      <c r="O1000" s="8" t="s">
        <v>41</v>
      </c>
      <c r="P1000" s="6" t="s">
        <v>42</v>
      </c>
      <c r="Q1000" s="8" t="s">
        <v>43</v>
      </c>
      <c r="R1000" s="10" t="s">
        <v>113</v>
      </c>
      <c r="S1000" s="11"/>
      <c r="T1000" s="6"/>
      <c r="U1000" s="28" t="str">
        <f>HYPERLINK("https://media.infra-m.ru/1895/1895641/cover/1895641.jpg", "Обложка")</f>
        <v>Обложка</v>
      </c>
      <c r="V1000" s="28" t="str">
        <f>HYPERLINK("https://znanium.com/catalog/product/1895641", "Ознакомиться")</f>
        <v>Ознакомиться</v>
      </c>
      <c r="W1000" s="8" t="s">
        <v>45</v>
      </c>
      <c r="X1000" s="6"/>
      <c r="Y1000" s="6"/>
      <c r="Z1000" s="6"/>
      <c r="AA1000" s="6" t="s">
        <v>46</v>
      </c>
    </row>
    <row r="1001" spans="1:27" s="4" customFormat="1" ht="51.95" customHeight="1">
      <c r="A1001" s="5">
        <v>0</v>
      </c>
      <c r="B1001" s="6" t="s">
        <v>5526</v>
      </c>
      <c r="C1001" s="7">
        <v>940</v>
      </c>
      <c r="D1001" s="8" t="s">
        <v>5527</v>
      </c>
      <c r="E1001" s="8" t="s">
        <v>5528</v>
      </c>
      <c r="F1001" s="8" t="s">
        <v>5529</v>
      </c>
      <c r="G1001" s="6" t="s">
        <v>51</v>
      </c>
      <c r="H1001" s="6" t="s">
        <v>84</v>
      </c>
      <c r="I1001" s="8" t="s">
        <v>251</v>
      </c>
      <c r="J1001" s="9">
        <v>1</v>
      </c>
      <c r="K1001" s="9">
        <v>204</v>
      </c>
      <c r="L1001" s="9">
        <v>2023</v>
      </c>
      <c r="M1001" s="8" t="s">
        <v>5530</v>
      </c>
      <c r="N1001" s="8" t="s">
        <v>40</v>
      </c>
      <c r="O1001" s="8" t="s">
        <v>41</v>
      </c>
      <c r="P1001" s="6" t="s">
        <v>42</v>
      </c>
      <c r="Q1001" s="8" t="s">
        <v>43</v>
      </c>
      <c r="R1001" s="10" t="s">
        <v>5531</v>
      </c>
      <c r="S1001" s="11"/>
      <c r="T1001" s="6"/>
      <c r="U1001" s="28" t="str">
        <f>HYPERLINK("https://media.infra-m.ru/2048/2048108/cover/2048108.jpg", "Обложка")</f>
        <v>Обложка</v>
      </c>
      <c r="V1001" s="28" t="str">
        <f>HYPERLINK("https://znanium.com/catalog/product/2048108", "Ознакомиться")</f>
        <v>Ознакомиться</v>
      </c>
      <c r="W1001" s="8"/>
      <c r="X1001" s="6" t="s">
        <v>381</v>
      </c>
      <c r="Y1001" s="6"/>
      <c r="Z1001" s="6"/>
      <c r="AA1001" s="6" t="s">
        <v>408</v>
      </c>
    </row>
    <row r="1002" spans="1:27" s="4" customFormat="1" ht="42" customHeight="1">
      <c r="A1002" s="5">
        <v>0</v>
      </c>
      <c r="B1002" s="6" t="s">
        <v>5532</v>
      </c>
      <c r="C1002" s="7">
        <v>424.9</v>
      </c>
      <c r="D1002" s="8" t="s">
        <v>5533</v>
      </c>
      <c r="E1002" s="8" t="s">
        <v>5534</v>
      </c>
      <c r="F1002" s="8" t="s">
        <v>5535</v>
      </c>
      <c r="G1002" s="6" t="s">
        <v>51</v>
      </c>
      <c r="H1002" s="6" t="s">
        <v>84</v>
      </c>
      <c r="I1002" s="8" t="s">
        <v>251</v>
      </c>
      <c r="J1002" s="9">
        <v>1</v>
      </c>
      <c r="K1002" s="9">
        <v>94</v>
      </c>
      <c r="L1002" s="9">
        <v>2023</v>
      </c>
      <c r="M1002" s="8" t="s">
        <v>5536</v>
      </c>
      <c r="N1002" s="8" t="s">
        <v>40</v>
      </c>
      <c r="O1002" s="8" t="s">
        <v>41</v>
      </c>
      <c r="P1002" s="6" t="s">
        <v>42</v>
      </c>
      <c r="Q1002" s="8" t="s">
        <v>43</v>
      </c>
      <c r="R1002" s="10" t="s">
        <v>340</v>
      </c>
      <c r="S1002" s="11"/>
      <c r="T1002" s="6"/>
      <c r="U1002" s="28" t="str">
        <f>HYPERLINK("https://media.infra-m.ru/1913/1913031/cover/1913031.jpg", "Обложка")</f>
        <v>Обложка</v>
      </c>
      <c r="V1002" s="28" t="str">
        <f>HYPERLINK("https://znanium.com/catalog/product/513508", "Ознакомиться")</f>
        <v>Ознакомиться</v>
      </c>
      <c r="W1002" s="8" t="s">
        <v>107</v>
      </c>
      <c r="X1002" s="6"/>
      <c r="Y1002" s="6"/>
      <c r="Z1002" s="6"/>
      <c r="AA1002" s="6" t="s">
        <v>298</v>
      </c>
    </row>
    <row r="1003" spans="1:27" s="4" customFormat="1" ht="44.1" customHeight="1">
      <c r="A1003" s="5">
        <v>0</v>
      </c>
      <c r="B1003" s="6" t="s">
        <v>5537</v>
      </c>
      <c r="C1003" s="7">
        <v>934.9</v>
      </c>
      <c r="D1003" s="8" t="s">
        <v>5538</v>
      </c>
      <c r="E1003" s="8" t="s">
        <v>5539</v>
      </c>
      <c r="F1003" s="8" t="s">
        <v>5540</v>
      </c>
      <c r="G1003" s="6" t="s">
        <v>58</v>
      </c>
      <c r="H1003" s="6" t="s">
        <v>38</v>
      </c>
      <c r="I1003" s="8"/>
      <c r="J1003" s="9">
        <v>1</v>
      </c>
      <c r="K1003" s="9">
        <v>208</v>
      </c>
      <c r="L1003" s="9">
        <v>2022</v>
      </c>
      <c r="M1003" s="8" t="s">
        <v>5541</v>
      </c>
      <c r="N1003" s="8" t="s">
        <v>40</v>
      </c>
      <c r="O1003" s="8" t="s">
        <v>41</v>
      </c>
      <c r="P1003" s="6" t="s">
        <v>42</v>
      </c>
      <c r="Q1003" s="8" t="s">
        <v>43</v>
      </c>
      <c r="R1003" s="10" t="s">
        <v>718</v>
      </c>
      <c r="S1003" s="11"/>
      <c r="T1003" s="6"/>
      <c r="U1003" s="28" t="str">
        <f>HYPERLINK("https://media.infra-m.ru/1877/1877667/cover/1877667.jpg", "Обложка")</f>
        <v>Обложка</v>
      </c>
      <c r="V1003" s="28" t="str">
        <f>HYPERLINK("https://znanium.com/catalog/product/1035870", "Ознакомиться")</f>
        <v>Ознакомиться</v>
      </c>
      <c r="W1003" s="8" t="s">
        <v>1242</v>
      </c>
      <c r="X1003" s="6"/>
      <c r="Y1003" s="6"/>
      <c r="Z1003" s="6"/>
      <c r="AA1003" s="6" t="s">
        <v>88</v>
      </c>
    </row>
    <row r="1004" spans="1:27" s="4" customFormat="1" ht="42" customHeight="1">
      <c r="A1004" s="5">
        <v>0</v>
      </c>
      <c r="B1004" s="6" t="s">
        <v>5542</v>
      </c>
      <c r="C1004" s="13">
        <v>1530</v>
      </c>
      <c r="D1004" s="8" t="s">
        <v>5543</v>
      </c>
      <c r="E1004" s="8" t="s">
        <v>5544</v>
      </c>
      <c r="F1004" s="8" t="s">
        <v>5545</v>
      </c>
      <c r="G1004" s="6" t="s">
        <v>58</v>
      </c>
      <c r="H1004" s="6" t="s">
        <v>52</v>
      </c>
      <c r="I1004" s="8" t="s">
        <v>1605</v>
      </c>
      <c r="J1004" s="9">
        <v>1</v>
      </c>
      <c r="K1004" s="9">
        <v>392</v>
      </c>
      <c r="L1004" s="9">
        <v>2022</v>
      </c>
      <c r="M1004" s="8" t="s">
        <v>5546</v>
      </c>
      <c r="N1004" s="8" t="s">
        <v>40</v>
      </c>
      <c r="O1004" s="8" t="s">
        <v>41</v>
      </c>
      <c r="P1004" s="6" t="s">
        <v>42</v>
      </c>
      <c r="Q1004" s="8" t="s">
        <v>43</v>
      </c>
      <c r="R1004" s="10" t="s">
        <v>5547</v>
      </c>
      <c r="S1004" s="11"/>
      <c r="T1004" s="6"/>
      <c r="U1004" s="28" t="str">
        <f>HYPERLINK("https://media.infra-m.ru/1862/1862568/cover/1862568.jpg", "Обложка")</f>
        <v>Обложка</v>
      </c>
      <c r="V1004" s="12"/>
      <c r="W1004" s="8" t="s">
        <v>458</v>
      </c>
      <c r="X1004" s="6"/>
      <c r="Y1004" s="6"/>
      <c r="Z1004" s="6"/>
      <c r="AA1004" s="6" t="s">
        <v>343</v>
      </c>
    </row>
    <row r="1005" spans="1:27" s="4" customFormat="1" ht="42" customHeight="1">
      <c r="A1005" s="5">
        <v>0</v>
      </c>
      <c r="B1005" s="6" t="s">
        <v>5548</v>
      </c>
      <c r="C1005" s="13">
        <v>1214</v>
      </c>
      <c r="D1005" s="8" t="s">
        <v>5549</v>
      </c>
      <c r="E1005" s="8" t="s">
        <v>5550</v>
      </c>
      <c r="F1005" s="8" t="s">
        <v>111</v>
      </c>
      <c r="G1005" s="6" t="s">
        <v>37</v>
      </c>
      <c r="H1005" s="6" t="s">
        <v>38</v>
      </c>
      <c r="I1005" s="8"/>
      <c r="J1005" s="9">
        <v>1</v>
      </c>
      <c r="K1005" s="9">
        <v>264</v>
      </c>
      <c r="L1005" s="9">
        <v>2023</v>
      </c>
      <c r="M1005" s="8" t="s">
        <v>5551</v>
      </c>
      <c r="N1005" s="8" t="s">
        <v>40</v>
      </c>
      <c r="O1005" s="8" t="s">
        <v>41</v>
      </c>
      <c r="P1005" s="6" t="s">
        <v>42</v>
      </c>
      <c r="Q1005" s="8" t="s">
        <v>43</v>
      </c>
      <c r="R1005" s="10" t="s">
        <v>1339</v>
      </c>
      <c r="S1005" s="11"/>
      <c r="T1005" s="6"/>
      <c r="U1005" s="28" t="str">
        <f>HYPERLINK("https://media.infra-m.ru/2041/2041712/cover/2041712.jpg", "Обложка")</f>
        <v>Обложка</v>
      </c>
      <c r="V1005" s="28" t="str">
        <f>HYPERLINK("https://znanium.com/catalog/product/1215806", "Ознакомиться")</f>
        <v>Ознакомиться</v>
      </c>
      <c r="W1005" s="8" t="s">
        <v>114</v>
      </c>
      <c r="X1005" s="6"/>
      <c r="Y1005" s="6"/>
      <c r="Z1005" s="6"/>
      <c r="AA1005" s="6" t="s">
        <v>62</v>
      </c>
    </row>
    <row r="1006" spans="1:27" s="4" customFormat="1" ht="42" customHeight="1">
      <c r="A1006" s="5">
        <v>0</v>
      </c>
      <c r="B1006" s="6" t="s">
        <v>5552</v>
      </c>
      <c r="C1006" s="13">
        <v>2380</v>
      </c>
      <c r="D1006" s="8" t="s">
        <v>5553</v>
      </c>
      <c r="E1006" s="8" t="s">
        <v>5554</v>
      </c>
      <c r="F1006" s="8" t="s">
        <v>5555</v>
      </c>
      <c r="G1006" s="6" t="s">
        <v>37</v>
      </c>
      <c r="H1006" s="6" t="s">
        <v>38</v>
      </c>
      <c r="I1006" s="8"/>
      <c r="J1006" s="9">
        <v>1</v>
      </c>
      <c r="K1006" s="9">
        <v>528</v>
      </c>
      <c r="L1006" s="9">
        <v>2023</v>
      </c>
      <c r="M1006" s="8" t="s">
        <v>5556</v>
      </c>
      <c r="N1006" s="8" t="s">
        <v>40</v>
      </c>
      <c r="O1006" s="8" t="s">
        <v>41</v>
      </c>
      <c r="P1006" s="6" t="s">
        <v>42</v>
      </c>
      <c r="Q1006" s="8" t="s">
        <v>43</v>
      </c>
      <c r="R1006" s="10" t="s">
        <v>304</v>
      </c>
      <c r="S1006" s="11"/>
      <c r="T1006" s="6"/>
      <c r="U1006" s="28" t="str">
        <f>HYPERLINK("https://media.infra-m.ru/1991/1991043/cover/1991043.jpg", "Обложка")</f>
        <v>Обложка</v>
      </c>
      <c r="V1006" s="28" t="str">
        <f>HYPERLINK("https://znanium.com/catalog/product/1991043", "Ознакомиться")</f>
        <v>Ознакомиться</v>
      </c>
      <c r="W1006" s="8" t="s">
        <v>114</v>
      </c>
      <c r="X1006" s="6"/>
      <c r="Y1006" s="6"/>
      <c r="Z1006" s="6"/>
      <c r="AA1006" s="6" t="s">
        <v>148</v>
      </c>
    </row>
    <row r="1007" spans="1:27" s="4" customFormat="1" ht="51.95" customHeight="1">
      <c r="A1007" s="5">
        <v>0</v>
      </c>
      <c r="B1007" s="6" t="s">
        <v>5557</v>
      </c>
      <c r="C1007" s="13">
        <v>2144</v>
      </c>
      <c r="D1007" s="8" t="s">
        <v>5558</v>
      </c>
      <c r="E1007" s="8" t="s">
        <v>5559</v>
      </c>
      <c r="F1007" s="8" t="s">
        <v>5560</v>
      </c>
      <c r="G1007" s="6" t="s">
        <v>58</v>
      </c>
      <c r="H1007" s="6" t="s">
        <v>272</v>
      </c>
      <c r="I1007" s="8" t="s">
        <v>120</v>
      </c>
      <c r="J1007" s="9">
        <v>1</v>
      </c>
      <c r="K1007" s="9">
        <v>592</v>
      </c>
      <c r="L1007" s="9">
        <v>2024</v>
      </c>
      <c r="M1007" s="8" t="s">
        <v>5561</v>
      </c>
      <c r="N1007" s="8" t="s">
        <v>40</v>
      </c>
      <c r="O1007" s="8" t="s">
        <v>41</v>
      </c>
      <c r="P1007" s="6" t="s">
        <v>75</v>
      </c>
      <c r="Q1007" s="8" t="s">
        <v>76</v>
      </c>
      <c r="R1007" s="10" t="s">
        <v>5562</v>
      </c>
      <c r="S1007" s="11" t="s">
        <v>1764</v>
      </c>
      <c r="T1007" s="6"/>
      <c r="U1007" s="28" t="str">
        <f>HYPERLINK("https://media.infra-m.ru/1902/1902902/cover/1902902.jpg", "Обложка")</f>
        <v>Обложка</v>
      </c>
      <c r="V1007" s="12"/>
      <c r="W1007" s="8" t="s">
        <v>3088</v>
      </c>
      <c r="X1007" s="6"/>
      <c r="Y1007" s="6"/>
      <c r="Z1007" s="6"/>
      <c r="AA1007" s="6" t="s">
        <v>415</v>
      </c>
    </row>
    <row r="1008" spans="1:27" s="4" customFormat="1" ht="51.95" customHeight="1">
      <c r="A1008" s="5">
        <v>0</v>
      </c>
      <c r="B1008" s="6" t="s">
        <v>5563</v>
      </c>
      <c r="C1008" s="13">
        <v>2134.9</v>
      </c>
      <c r="D1008" s="8" t="s">
        <v>5564</v>
      </c>
      <c r="E1008" s="8" t="s">
        <v>5565</v>
      </c>
      <c r="F1008" s="8" t="s">
        <v>2125</v>
      </c>
      <c r="G1008" s="6" t="s">
        <v>58</v>
      </c>
      <c r="H1008" s="6" t="s">
        <v>38</v>
      </c>
      <c r="I1008" s="8"/>
      <c r="J1008" s="9">
        <v>1</v>
      </c>
      <c r="K1008" s="9">
        <v>816</v>
      </c>
      <c r="L1008" s="9">
        <v>2023</v>
      </c>
      <c r="M1008" s="8" t="s">
        <v>5566</v>
      </c>
      <c r="N1008" s="8" t="s">
        <v>40</v>
      </c>
      <c r="O1008" s="8" t="s">
        <v>41</v>
      </c>
      <c r="P1008" s="6" t="s">
        <v>95</v>
      </c>
      <c r="Q1008" s="8" t="s">
        <v>76</v>
      </c>
      <c r="R1008" s="10" t="s">
        <v>5567</v>
      </c>
      <c r="S1008" s="11"/>
      <c r="T1008" s="6"/>
      <c r="U1008" s="28" t="str">
        <f>HYPERLINK("https://media.infra-m.ru/1991/1991039/cover/1991039.jpg", "Обложка")</f>
        <v>Обложка</v>
      </c>
      <c r="V1008" s="28" t="str">
        <f>HYPERLINK("https://znanium.com/catalog/product/939014", "Ознакомиться")</f>
        <v>Ознакомиться</v>
      </c>
      <c r="W1008" s="8" t="s">
        <v>78</v>
      </c>
      <c r="X1008" s="6"/>
      <c r="Y1008" s="6"/>
      <c r="Z1008" s="6"/>
      <c r="AA1008" s="6" t="s">
        <v>5568</v>
      </c>
    </row>
    <row r="1009" spans="1:27" s="4" customFormat="1" ht="42" customHeight="1">
      <c r="A1009" s="5">
        <v>0</v>
      </c>
      <c r="B1009" s="6" t="s">
        <v>5569</v>
      </c>
      <c r="C1009" s="13">
        <v>2394</v>
      </c>
      <c r="D1009" s="8" t="s">
        <v>5570</v>
      </c>
      <c r="E1009" s="8" t="s">
        <v>5571</v>
      </c>
      <c r="F1009" s="8" t="s">
        <v>5572</v>
      </c>
      <c r="G1009" s="6" t="s">
        <v>58</v>
      </c>
      <c r="H1009" s="6" t="s">
        <v>38</v>
      </c>
      <c r="I1009" s="8"/>
      <c r="J1009" s="9">
        <v>1</v>
      </c>
      <c r="K1009" s="9">
        <v>656</v>
      </c>
      <c r="L1009" s="9">
        <v>2023</v>
      </c>
      <c r="M1009" s="8" t="s">
        <v>5573</v>
      </c>
      <c r="N1009" s="8" t="s">
        <v>40</v>
      </c>
      <c r="O1009" s="8" t="s">
        <v>41</v>
      </c>
      <c r="P1009" s="6" t="s">
        <v>95</v>
      </c>
      <c r="Q1009" s="8" t="s">
        <v>76</v>
      </c>
      <c r="R1009" s="10" t="s">
        <v>340</v>
      </c>
      <c r="S1009" s="11"/>
      <c r="T1009" s="6"/>
      <c r="U1009" s="28" t="str">
        <f>HYPERLINK("https://media.infra-m.ru/1991/1991040/cover/1991040.jpg", "Обложка")</f>
        <v>Обложка</v>
      </c>
      <c r="V1009" s="12"/>
      <c r="W1009" s="8" t="s">
        <v>45</v>
      </c>
      <c r="X1009" s="6"/>
      <c r="Y1009" s="6"/>
      <c r="Z1009" s="6"/>
      <c r="AA1009" s="6" t="s">
        <v>415</v>
      </c>
    </row>
    <row r="1010" spans="1:27" s="4" customFormat="1" ht="44.1" customHeight="1">
      <c r="A1010" s="5">
        <v>0</v>
      </c>
      <c r="B1010" s="6" t="s">
        <v>5574</v>
      </c>
      <c r="C1010" s="7">
        <v>850</v>
      </c>
      <c r="D1010" s="8" t="s">
        <v>5575</v>
      </c>
      <c r="E1010" s="8" t="s">
        <v>5576</v>
      </c>
      <c r="F1010" s="8" t="s">
        <v>2332</v>
      </c>
      <c r="G1010" s="6" t="s">
        <v>37</v>
      </c>
      <c r="H1010" s="6" t="s">
        <v>84</v>
      </c>
      <c r="I1010" s="8" t="s">
        <v>85</v>
      </c>
      <c r="J1010" s="9">
        <v>1</v>
      </c>
      <c r="K1010" s="9">
        <v>176</v>
      </c>
      <c r="L1010" s="9">
        <v>2023</v>
      </c>
      <c r="M1010" s="8" t="s">
        <v>5577</v>
      </c>
      <c r="N1010" s="8" t="s">
        <v>40</v>
      </c>
      <c r="O1010" s="8" t="s">
        <v>41</v>
      </c>
      <c r="P1010" s="6" t="s">
        <v>141</v>
      </c>
      <c r="Q1010" s="8" t="s">
        <v>296</v>
      </c>
      <c r="R1010" s="10" t="s">
        <v>304</v>
      </c>
      <c r="S1010" s="11"/>
      <c r="T1010" s="6"/>
      <c r="U1010" s="28" t="str">
        <f>HYPERLINK("https://media.infra-m.ru/1905/1905876/cover/1905876.jpg", "Обложка")</f>
        <v>Обложка</v>
      </c>
      <c r="V1010" s="28" t="str">
        <f>HYPERLINK("https://znanium.com/catalog/product/1905876", "Ознакомиться")</f>
        <v>Ознакомиться</v>
      </c>
      <c r="W1010" s="8" t="s">
        <v>535</v>
      </c>
      <c r="X1010" s="6"/>
      <c r="Y1010" s="6"/>
      <c r="Z1010" s="6"/>
      <c r="AA1010" s="6" t="s">
        <v>298</v>
      </c>
    </row>
    <row r="1011" spans="1:27" s="4" customFormat="1" ht="42" customHeight="1">
      <c r="A1011" s="5">
        <v>0</v>
      </c>
      <c r="B1011" s="6" t="s">
        <v>5578</v>
      </c>
      <c r="C1011" s="7">
        <v>784.9</v>
      </c>
      <c r="D1011" s="8" t="s">
        <v>5579</v>
      </c>
      <c r="E1011" s="8" t="s">
        <v>5580</v>
      </c>
      <c r="F1011" s="8" t="s">
        <v>5581</v>
      </c>
      <c r="G1011" s="6" t="s">
        <v>51</v>
      </c>
      <c r="H1011" s="6" t="s">
        <v>38</v>
      </c>
      <c r="I1011" s="8"/>
      <c r="J1011" s="9">
        <v>20</v>
      </c>
      <c r="K1011" s="9">
        <v>224</v>
      </c>
      <c r="L1011" s="9">
        <v>2020</v>
      </c>
      <c r="M1011" s="8" t="s">
        <v>5582</v>
      </c>
      <c r="N1011" s="8" t="s">
        <v>40</v>
      </c>
      <c r="O1011" s="8" t="s">
        <v>41</v>
      </c>
      <c r="P1011" s="6" t="s">
        <v>42</v>
      </c>
      <c r="Q1011" s="8" t="s">
        <v>43</v>
      </c>
      <c r="R1011" s="10" t="s">
        <v>69</v>
      </c>
      <c r="S1011" s="11"/>
      <c r="T1011" s="6"/>
      <c r="U1011" s="28" t="str">
        <f>HYPERLINK("https://media.infra-m.ru/1074/1074810/cover/1074810.jpg", "Обложка")</f>
        <v>Обложка</v>
      </c>
      <c r="V1011" s="28" t="str">
        <f>HYPERLINK("https://znanium.com/catalog/product/959896", "Ознакомиться")</f>
        <v>Ознакомиться</v>
      </c>
      <c r="W1011" s="8" t="s">
        <v>45</v>
      </c>
      <c r="X1011" s="6"/>
      <c r="Y1011" s="6"/>
      <c r="Z1011" s="6"/>
      <c r="AA1011" s="6" t="s">
        <v>88</v>
      </c>
    </row>
    <row r="1012" spans="1:27" s="4" customFormat="1" ht="51.95" customHeight="1">
      <c r="A1012" s="5">
        <v>0</v>
      </c>
      <c r="B1012" s="6" t="s">
        <v>5583</v>
      </c>
      <c r="C1012" s="13">
        <v>1950</v>
      </c>
      <c r="D1012" s="8" t="s">
        <v>5584</v>
      </c>
      <c r="E1012" s="8" t="s">
        <v>5585</v>
      </c>
      <c r="F1012" s="8" t="s">
        <v>5586</v>
      </c>
      <c r="G1012" s="6" t="s">
        <v>58</v>
      </c>
      <c r="H1012" s="6" t="s">
        <v>38</v>
      </c>
      <c r="I1012" s="8"/>
      <c r="J1012" s="9">
        <v>1</v>
      </c>
      <c r="K1012" s="9">
        <v>416</v>
      </c>
      <c r="L1012" s="9">
        <v>2024</v>
      </c>
      <c r="M1012" s="8" t="s">
        <v>5587</v>
      </c>
      <c r="N1012" s="8" t="s">
        <v>40</v>
      </c>
      <c r="O1012" s="8" t="s">
        <v>41</v>
      </c>
      <c r="P1012" s="6" t="s">
        <v>42</v>
      </c>
      <c r="Q1012" s="8" t="s">
        <v>43</v>
      </c>
      <c r="R1012" s="10" t="s">
        <v>5588</v>
      </c>
      <c r="S1012" s="11"/>
      <c r="T1012" s="6"/>
      <c r="U1012" s="28" t="str">
        <f>HYPERLINK("https://media.infra-m.ru/2090/2090017/cover/2090017.jpg", "Обложка")</f>
        <v>Обложка</v>
      </c>
      <c r="V1012" s="28" t="str">
        <f>HYPERLINK("https://znanium.com/catalog/product/2090017", "Ознакомиться")</f>
        <v>Ознакомиться</v>
      </c>
      <c r="W1012" s="8" t="s">
        <v>45</v>
      </c>
      <c r="X1012" s="6" t="s">
        <v>1446</v>
      </c>
      <c r="Y1012" s="6"/>
      <c r="Z1012" s="6"/>
      <c r="AA1012" s="6" t="s">
        <v>100</v>
      </c>
    </row>
    <row r="1013" spans="1:27" s="4" customFormat="1" ht="42" customHeight="1">
      <c r="A1013" s="5">
        <v>0</v>
      </c>
      <c r="B1013" s="6" t="s">
        <v>5589</v>
      </c>
      <c r="C1013" s="13">
        <v>1310</v>
      </c>
      <c r="D1013" s="8" t="s">
        <v>5590</v>
      </c>
      <c r="E1013" s="8" t="s">
        <v>5591</v>
      </c>
      <c r="F1013" s="8" t="s">
        <v>2634</v>
      </c>
      <c r="G1013" s="6" t="s">
        <v>37</v>
      </c>
      <c r="H1013" s="6" t="s">
        <v>38</v>
      </c>
      <c r="I1013" s="8"/>
      <c r="J1013" s="9">
        <v>1</v>
      </c>
      <c r="K1013" s="9">
        <v>336</v>
      </c>
      <c r="L1013" s="9">
        <v>2022</v>
      </c>
      <c r="M1013" s="8" t="s">
        <v>5592</v>
      </c>
      <c r="N1013" s="8" t="s">
        <v>40</v>
      </c>
      <c r="O1013" s="8" t="s">
        <v>41</v>
      </c>
      <c r="P1013" s="6" t="s">
        <v>42</v>
      </c>
      <c r="Q1013" s="8" t="s">
        <v>43</v>
      </c>
      <c r="R1013" s="10" t="s">
        <v>776</v>
      </c>
      <c r="S1013" s="11"/>
      <c r="T1013" s="6"/>
      <c r="U1013" s="28" t="str">
        <f>HYPERLINK("https://media.infra-m.ru/1839/1839362/cover/1839362.jpg", "Обложка")</f>
        <v>Обложка</v>
      </c>
      <c r="V1013" s="28" t="str">
        <f>HYPERLINK("https://znanium.com/catalog/product/1839362", "Ознакомиться")</f>
        <v>Ознакомиться</v>
      </c>
      <c r="W1013" s="8" t="s">
        <v>2638</v>
      </c>
      <c r="X1013" s="6"/>
      <c r="Y1013" s="6"/>
      <c r="Z1013" s="6"/>
      <c r="AA1013" s="6" t="s">
        <v>46</v>
      </c>
    </row>
    <row r="1014" spans="1:27" s="4" customFormat="1" ht="51.95" customHeight="1">
      <c r="A1014" s="5">
        <v>0</v>
      </c>
      <c r="B1014" s="6" t="s">
        <v>5593</v>
      </c>
      <c r="C1014" s="13">
        <v>1184</v>
      </c>
      <c r="D1014" s="8" t="s">
        <v>5594</v>
      </c>
      <c r="E1014" s="8" t="s">
        <v>5595</v>
      </c>
      <c r="F1014" s="8" t="s">
        <v>5596</v>
      </c>
      <c r="G1014" s="6" t="s">
        <v>37</v>
      </c>
      <c r="H1014" s="6" t="s">
        <v>38</v>
      </c>
      <c r="I1014" s="8"/>
      <c r="J1014" s="9">
        <v>1</v>
      </c>
      <c r="K1014" s="9">
        <v>256</v>
      </c>
      <c r="L1014" s="9">
        <v>2023</v>
      </c>
      <c r="M1014" s="8" t="s">
        <v>5597</v>
      </c>
      <c r="N1014" s="8" t="s">
        <v>40</v>
      </c>
      <c r="O1014" s="8" t="s">
        <v>41</v>
      </c>
      <c r="P1014" s="6" t="s">
        <v>75</v>
      </c>
      <c r="Q1014" s="8" t="s">
        <v>157</v>
      </c>
      <c r="R1014" s="10" t="s">
        <v>1804</v>
      </c>
      <c r="S1014" s="11"/>
      <c r="T1014" s="6"/>
      <c r="U1014" s="28" t="str">
        <f>HYPERLINK("https://media.infra-m.ru/2041/2041711/cover/2041711.jpg", "Обложка")</f>
        <v>Обложка</v>
      </c>
      <c r="V1014" s="28" t="str">
        <f>HYPERLINK("https://znanium.com/catalog/product/1231014", "Ознакомиться")</f>
        <v>Ознакомиться</v>
      </c>
      <c r="W1014" s="8" t="s">
        <v>114</v>
      </c>
      <c r="X1014" s="6"/>
      <c r="Y1014" s="6"/>
      <c r="Z1014" s="6"/>
      <c r="AA1014" s="6" t="s">
        <v>79</v>
      </c>
    </row>
    <row r="1015" spans="1:27" s="4" customFormat="1" ht="42" customHeight="1">
      <c r="A1015" s="5">
        <v>0</v>
      </c>
      <c r="B1015" s="6" t="s">
        <v>5598</v>
      </c>
      <c r="C1015" s="13">
        <v>1344</v>
      </c>
      <c r="D1015" s="8" t="s">
        <v>5599</v>
      </c>
      <c r="E1015" s="8" t="s">
        <v>5600</v>
      </c>
      <c r="F1015" s="8" t="s">
        <v>5601</v>
      </c>
      <c r="G1015" s="6" t="s">
        <v>58</v>
      </c>
      <c r="H1015" s="6" t="s">
        <v>38</v>
      </c>
      <c r="I1015" s="8"/>
      <c r="J1015" s="9">
        <v>1</v>
      </c>
      <c r="K1015" s="9">
        <v>296</v>
      </c>
      <c r="L1015" s="9">
        <v>2023</v>
      </c>
      <c r="M1015" s="8" t="s">
        <v>5602</v>
      </c>
      <c r="N1015" s="8" t="s">
        <v>40</v>
      </c>
      <c r="O1015" s="8" t="s">
        <v>41</v>
      </c>
      <c r="P1015" s="6" t="s">
        <v>95</v>
      </c>
      <c r="Q1015" s="8" t="s">
        <v>157</v>
      </c>
      <c r="R1015" s="10" t="s">
        <v>1339</v>
      </c>
      <c r="S1015" s="11"/>
      <c r="T1015" s="6"/>
      <c r="U1015" s="28" t="str">
        <f>HYPERLINK("https://media.infra-m.ru/1991/1991042/cover/1991042.jpg", "Обложка")</f>
        <v>Обложка</v>
      </c>
      <c r="V1015" s="28" t="str">
        <f>HYPERLINK("https://znanium.com/catalog/product/1178773", "Ознакомиться")</f>
        <v>Ознакомиться</v>
      </c>
      <c r="W1015" s="8" t="s">
        <v>195</v>
      </c>
      <c r="X1015" s="6"/>
      <c r="Y1015" s="6"/>
      <c r="Z1015" s="6"/>
      <c r="AA1015" s="6" t="s">
        <v>62</v>
      </c>
    </row>
    <row r="1016" spans="1:27" s="4" customFormat="1" ht="42" customHeight="1">
      <c r="A1016" s="5">
        <v>0</v>
      </c>
      <c r="B1016" s="6" t="s">
        <v>5603</v>
      </c>
      <c r="C1016" s="13">
        <v>2500</v>
      </c>
      <c r="D1016" s="8" t="s">
        <v>5604</v>
      </c>
      <c r="E1016" s="8" t="s">
        <v>5600</v>
      </c>
      <c r="F1016" s="8" t="s">
        <v>2332</v>
      </c>
      <c r="G1016" s="6" t="s">
        <v>58</v>
      </c>
      <c r="H1016" s="6" t="s">
        <v>38</v>
      </c>
      <c r="I1016" s="8"/>
      <c r="J1016" s="9">
        <v>1</v>
      </c>
      <c r="K1016" s="9">
        <v>544</v>
      </c>
      <c r="L1016" s="9">
        <v>2023</v>
      </c>
      <c r="M1016" s="8" t="s">
        <v>5605</v>
      </c>
      <c r="N1016" s="8" t="s">
        <v>40</v>
      </c>
      <c r="O1016" s="8" t="s">
        <v>41</v>
      </c>
      <c r="P1016" s="6" t="s">
        <v>95</v>
      </c>
      <c r="Q1016" s="8" t="s">
        <v>157</v>
      </c>
      <c r="R1016" s="10" t="s">
        <v>69</v>
      </c>
      <c r="S1016" s="11"/>
      <c r="T1016" s="6"/>
      <c r="U1016" s="28" t="str">
        <f>HYPERLINK("https://media.infra-m.ru/2043/2043246/cover/2043246.jpg", "Обложка")</f>
        <v>Обложка</v>
      </c>
      <c r="V1016" s="28" t="str">
        <f>HYPERLINK("https://znanium.com/catalog/product/2043246", "Ознакомиться")</f>
        <v>Ознакомиться</v>
      </c>
      <c r="W1016" s="8" t="s">
        <v>535</v>
      </c>
      <c r="X1016" s="6"/>
      <c r="Y1016" s="6"/>
      <c r="Z1016" s="6"/>
      <c r="AA1016" s="6" t="s">
        <v>115</v>
      </c>
    </row>
    <row r="1017" spans="1:27" s="4" customFormat="1" ht="42" customHeight="1">
      <c r="A1017" s="5">
        <v>0</v>
      </c>
      <c r="B1017" s="6" t="s">
        <v>5606</v>
      </c>
      <c r="C1017" s="13">
        <v>1014</v>
      </c>
      <c r="D1017" s="8" t="s">
        <v>5607</v>
      </c>
      <c r="E1017" s="8" t="s">
        <v>5608</v>
      </c>
      <c r="F1017" s="8" t="s">
        <v>5609</v>
      </c>
      <c r="G1017" s="6" t="s">
        <v>58</v>
      </c>
      <c r="H1017" s="6" t="s">
        <v>38</v>
      </c>
      <c r="I1017" s="8"/>
      <c r="J1017" s="9">
        <v>1</v>
      </c>
      <c r="K1017" s="9">
        <v>224</v>
      </c>
      <c r="L1017" s="9">
        <v>2023</v>
      </c>
      <c r="M1017" s="8" t="s">
        <v>5610</v>
      </c>
      <c r="N1017" s="8" t="s">
        <v>40</v>
      </c>
      <c r="O1017" s="8" t="s">
        <v>41</v>
      </c>
      <c r="P1017" s="6" t="s">
        <v>75</v>
      </c>
      <c r="Q1017" s="8" t="s">
        <v>76</v>
      </c>
      <c r="R1017" s="10" t="s">
        <v>113</v>
      </c>
      <c r="S1017" s="11"/>
      <c r="T1017" s="6"/>
      <c r="U1017" s="28" t="str">
        <f>HYPERLINK("https://media.infra-m.ru/1991/1991041/cover/1991041.jpg", "Обложка")</f>
        <v>Обложка</v>
      </c>
      <c r="V1017" s="28" t="str">
        <f>HYPERLINK("https://znanium.com/catalog/product/1234412", "Ознакомиться")</f>
        <v>Ознакомиться</v>
      </c>
      <c r="W1017" s="8" t="s">
        <v>114</v>
      </c>
      <c r="X1017" s="6"/>
      <c r="Y1017" s="6"/>
      <c r="Z1017" s="6"/>
      <c r="AA1017" s="6" t="s">
        <v>62</v>
      </c>
    </row>
    <row r="1018" spans="1:27" s="4" customFormat="1" ht="42" customHeight="1">
      <c r="A1018" s="5">
        <v>0</v>
      </c>
      <c r="B1018" s="6" t="s">
        <v>5611</v>
      </c>
      <c r="C1018" s="7">
        <v>669.9</v>
      </c>
      <c r="D1018" s="8" t="s">
        <v>5612</v>
      </c>
      <c r="E1018" s="8" t="s">
        <v>5613</v>
      </c>
      <c r="F1018" s="8" t="s">
        <v>5614</v>
      </c>
      <c r="G1018" s="6" t="s">
        <v>58</v>
      </c>
      <c r="H1018" s="6" t="s">
        <v>38</v>
      </c>
      <c r="I1018" s="8"/>
      <c r="J1018" s="9">
        <v>1</v>
      </c>
      <c r="K1018" s="9">
        <v>168</v>
      </c>
      <c r="L1018" s="9">
        <v>2022</v>
      </c>
      <c r="M1018" s="8" t="s">
        <v>5615</v>
      </c>
      <c r="N1018" s="8" t="s">
        <v>40</v>
      </c>
      <c r="O1018" s="8" t="s">
        <v>41</v>
      </c>
      <c r="P1018" s="6" t="s">
        <v>42</v>
      </c>
      <c r="Q1018" s="8" t="s">
        <v>43</v>
      </c>
      <c r="R1018" s="10" t="s">
        <v>1394</v>
      </c>
      <c r="S1018" s="11"/>
      <c r="T1018" s="6"/>
      <c r="U1018" s="28" t="str">
        <f>HYPERLINK("https://media.infra-m.ru/1836/1836962/cover/1836962.jpg", "Обложка")</f>
        <v>Обложка</v>
      </c>
      <c r="V1018" s="28" t="str">
        <f>HYPERLINK("https://znanium.com/catalog/product/1836962", "Ознакомиться")</f>
        <v>Ознакомиться</v>
      </c>
      <c r="W1018" s="8" t="s">
        <v>114</v>
      </c>
      <c r="X1018" s="6"/>
      <c r="Y1018" s="6"/>
      <c r="Z1018" s="6"/>
      <c r="AA1018" s="6" t="s">
        <v>343</v>
      </c>
    </row>
    <row r="1019" spans="1:27" s="4" customFormat="1" ht="42" customHeight="1">
      <c r="A1019" s="5">
        <v>0</v>
      </c>
      <c r="B1019" s="6" t="s">
        <v>5616</v>
      </c>
      <c r="C1019" s="13">
        <v>1485</v>
      </c>
      <c r="D1019" s="8" t="s">
        <v>5617</v>
      </c>
      <c r="E1019" s="8" t="s">
        <v>5618</v>
      </c>
      <c r="F1019" s="8" t="s">
        <v>5619</v>
      </c>
      <c r="G1019" s="6" t="s">
        <v>58</v>
      </c>
      <c r="H1019" s="6" t="s">
        <v>38</v>
      </c>
      <c r="I1019" s="8"/>
      <c r="J1019" s="9">
        <v>1</v>
      </c>
      <c r="K1019" s="9">
        <v>220</v>
      </c>
      <c r="L1019" s="9">
        <v>2023</v>
      </c>
      <c r="M1019" s="8" t="s">
        <v>5620</v>
      </c>
      <c r="N1019" s="8" t="s">
        <v>40</v>
      </c>
      <c r="O1019" s="8" t="s">
        <v>41</v>
      </c>
      <c r="P1019" s="6" t="s">
        <v>42</v>
      </c>
      <c r="Q1019" s="8" t="s">
        <v>43</v>
      </c>
      <c r="R1019" s="10" t="s">
        <v>5621</v>
      </c>
      <c r="S1019" s="11"/>
      <c r="T1019" s="6"/>
      <c r="U1019" s="28" t="str">
        <f>HYPERLINK("https://media.infra-m.ru/2088/2088675/cover/2088675.jpg", "Обложка")</f>
        <v>Обложка</v>
      </c>
      <c r="V1019" s="28" t="str">
        <f>HYPERLINK("https://znanium.com/catalog/product/2051289", "Ознакомиться")</f>
        <v>Ознакомиться</v>
      </c>
      <c r="W1019" s="8" t="s">
        <v>2794</v>
      </c>
      <c r="X1019" s="6"/>
      <c r="Y1019" s="6"/>
      <c r="Z1019" s="6"/>
      <c r="AA1019" s="6" t="s">
        <v>408</v>
      </c>
    </row>
    <row r="1020" spans="1:27" s="4" customFormat="1" ht="51.95" customHeight="1">
      <c r="A1020" s="5">
        <v>0</v>
      </c>
      <c r="B1020" s="6" t="s">
        <v>5622</v>
      </c>
      <c r="C1020" s="7">
        <v>560</v>
      </c>
      <c r="D1020" s="8" t="s">
        <v>5623</v>
      </c>
      <c r="E1020" s="8" t="s">
        <v>5624</v>
      </c>
      <c r="F1020" s="8" t="s">
        <v>5625</v>
      </c>
      <c r="G1020" s="6" t="s">
        <v>51</v>
      </c>
      <c r="H1020" s="6" t="s">
        <v>84</v>
      </c>
      <c r="I1020" s="8" t="s">
        <v>120</v>
      </c>
      <c r="J1020" s="9">
        <v>1</v>
      </c>
      <c r="K1020" s="9">
        <v>118</v>
      </c>
      <c r="L1020" s="9">
        <v>2023</v>
      </c>
      <c r="M1020" s="8" t="s">
        <v>5626</v>
      </c>
      <c r="N1020" s="8" t="s">
        <v>40</v>
      </c>
      <c r="O1020" s="8" t="s">
        <v>41</v>
      </c>
      <c r="P1020" s="6" t="s">
        <v>75</v>
      </c>
      <c r="Q1020" s="8" t="s">
        <v>76</v>
      </c>
      <c r="R1020" s="10" t="s">
        <v>77</v>
      </c>
      <c r="S1020" s="11" t="s">
        <v>2012</v>
      </c>
      <c r="T1020" s="6"/>
      <c r="U1020" s="28" t="str">
        <f>HYPERLINK("https://media.infra-m.ru/2002/2002661/cover/2002661.jpg", "Обложка")</f>
        <v>Обложка</v>
      </c>
      <c r="V1020" s="28" t="str">
        <f>HYPERLINK("https://znanium.com/catalog/product/2002661", "Ознакомиться")</f>
        <v>Ознакомиться</v>
      </c>
      <c r="W1020" s="8" t="s">
        <v>1368</v>
      </c>
      <c r="X1020" s="6"/>
      <c r="Y1020" s="6"/>
      <c r="Z1020" s="6"/>
      <c r="AA1020" s="6" t="s">
        <v>524</v>
      </c>
    </row>
    <row r="1021" spans="1:27" s="4" customFormat="1" ht="51.95" customHeight="1">
      <c r="A1021" s="5">
        <v>0</v>
      </c>
      <c r="B1021" s="6" t="s">
        <v>5627</v>
      </c>
      <c r="C1021" s="13">
        <v>2200</v>
      </c>
      <c r="D1021" s="8" t="s">
        <v>5628</v>
      </c>
      <c r="E1021" s="8" t="s">
        <v>5629</v>
      </c>
      <c r="F1021" s="8" t="s">
        <v>5630</v>
      </c>
      <c r="G1021" s="6" t="s">
        <v>58</v>
      </c>
      <c r="H1021" s="6" t="s">
        <v>38</v>
      </c>
      <c r="I1021" s="8"/>
      <c r="J1021" s="9">
        <v>1</v>
      </c>
      <c r="K1021" s="9">
        <v>480</v>
      </c>
      <c r="L1021" s="9">
        <v>2023</v>
      </c>
      <c r="M1021" s="8" t="s">
        <v>5631</v>
      </c>
      <c r="N1021" s="8" t="s">
        <v>40</v>
      </c>
      <c r="O1021" s="8" t="s">
        <v>41</v>
      </c>
      <c r="P1021" s="6" t="s">
        <v>95</v>
      </c>
      <c r="Q1021" s="8" t="s">
        <v>76</v>
      </c>
      <c r="R1021" s="10" t="s">
        <v>5632</v>
      </c>
      <c r="S1021" s="11"/>
      <c r="T1021" s="6"/>
      <c r="U1021" s="28" t="str">
        <f>HYPERLINK("https://media.infra-m.ru/2087/2087732/cover/2087732.jpg", "Обложка")</f>
        <v>Обложка</v>
      </c>
      <c r="V1021" s="28" t="str">
        <f>HYPERLINK("https://znanium.com/catalog/product/2087732", "Ознакомиться")</f>
        <v>Ознакомиться</v>
      </c>
      <c r="W1021" s="8" t="s">
        <v>2900</v>
      </c>
      <c r="X1021" s="6"/>
      <c r="Y1021" s="6"/>
      <c r="Z1021" s="6"/>
      <c r="AA1021" s="6" t="s">
        <v>5633</v>
      </c>
    </row>
    <row r="1022" spans="1:27" s="4" customFormat="1" ht="51.95" customHeight="1">
      <c r="A1022" s="5">
        <v>0</v>
      </c>
      <c r="B1022" s="6" t="s">
        <v>5634</v>
      </c>
      <c r="C1022" s="7">
        <v>640</v>
      </c>
      <c r="D1022" s="8" t="s">
        <v>5635</v>
      </c>
      <c r="E1022" s="8" t="s">
        <v>5636</v>
      </c>
      <c r="F1022" s="8" t="s">
        <v>5637</v>
      </c>
      <c r="G1022" s="6" t="s">
        <v>51</v>
      </c>
      <c r="H1022" s="6" t="s">
        <v>52</v>
      </c>
      <c r="I1022" s="8" t="s">
        <v>120</v>
      </c>
      <c r="J1022" s="9">
        <v>1</v>
      </c>
      <c r="K1022" s="9">
        <v>218</v>
      </c>
      <c r="L1022" s="9">
        <v>2023</v>
      </c>
      <c r="M1022" s="8" t="s">
        <v>5638</v>
      </c>
      <c r="N1022" s="8" t="s">
        <v>40</v>
      </c>
      <c r="O1022" s="8" t="s">
        <v>41</v>
      </c>
      <c r="P1022" s="6" t="s">
        <v>75</v>
      </c>
      <c r="Q1022" s="8" t="s">
        <v>680</v>
      </c>
      <c r="R1022" s="10" t="s">
        <v>122</v>
      </c>
      <c r="S1022" s="11"/>
      <c r="T1022" s="6"/>
      <c r="U1022" s="28" t="str">
        <f>HYPERLINK("https://media.infra-m.ru/1912/1912370/cover/1912370.jpg", "Обложка")</f>
        <v>Обложка</v>
      </c>
      <c r="V1022" s="28" t="str">
        <f>HYPERLINK("https://znanium.com/catalog/product/1052238", "Ознакомиться")</f>
        <v>Ознакомиться</v>
      </c>
      <c r="W1022" s="8" t="s">
        <v>813</v>
      </c>
      <c r="X1022" s="6"/>
      <c r="Y1022" s="6"/>
      <c r="Z1022" s="6"/>
      <c r="AA1022" s="6" t="s">
        <v>3033</v>
      </c>
    </row>
    <row r="1023" spans="1:27" s="4" customFormat="1" ht="51.95" customHeight="1">
      <c r="A1023" s="5">
        <v>0</v>
      </c>
      <c r="B1023" s="6" t="s">
        <v>5639</v>
      </c>
      <c r="C1023" s="7">
        <v>394.9</v>
      </c>
      <c r="D1023" s="8" t="s">
        <v>5640</v>
      </c>
      <c r="E1023" s="8" t="s">
        <v>5641</v>
      </c>
      <c r="F1023" s="8" t="s">
        <v>5642</v>
      </c>
      <c r="G1023" s="6" t="s">
        <v>51</v>
      </c>
      <c r="H1023" s="6" t="s">
        <v>52</v>
      </c>
      <c r="I1023" s="8" t="s">
        <v>3026</v>
      </c>
      <c r="J1023" s="9">
        <v>1</v>
      </c>
      <c r="K1023" s="9">
        <v>215</v>
      </c>
      <c r="L1023" s="9">
        <v>2020</v>
      </c>
      <c r="M1023" s="8" t="s">
        <v>5643</v>
      </c>
      <c r="N1023" s="8" t="s">
        <v>40</v>
      </c>
      <c r="O1023" s="8" t="s">
        <v>41</v>
      </c>
      <c r="P1023" s="6" t="s">
        <v>75</v>
      </c>
      <c r="Q1023" s="8" t="s">
        <v>76</v>
      </c>
      <c r="R1023" s="10" t="s">
        <v>122</v>
      </c>
      <c r="S1023" s="11"/>
      <c r="T1023" s="6"/>
      <c r="U1023" s="28" t="str">
        <f>HYPERLINK("https://media.infra-m.ru/1052/1052238/cover/1052238.jpg", "Обложка")</f>
        <v>Обложка</v>
      </c>
      <c r="V1023" s="28" t="str">
        <f>HYPERLINK("https://znanium.com/catalog/product/1052238", "Ознакомиться")</f>
        <v>Ознакомиться</v>
      </c>
      <c r="W1023" s="8" t="s">
        <v>813</v>
      </c>
      <c r="X1023" s="6"/>
      <c r="Y1023" s="6"/>
      <c r="Z1023" s="6"/>
      <c r="AA1023" s="6" t="s">
        <v>5644</v>
      </c>
    </row>
    <row r="1024" spans="1:27" s="4" customFormat="1" ht="51.95" customHeight="1">
      <c r="A1024" s="5">
        <v>0</v>
      </c>
      <c r="B1024" s="6" t="s">
        <v>5645</v>
      </c>
      <c r="C1024" s="7">
        <v>850</v>
      </c>
      <c r="D1024" s="8" t="s">
        <v>5646</v>
      </c>
      <c r="E1024" s="8" t="s">
        <v>5647</v>
      </c>
      <c r="F1024" s="8" t="s">
        <v>5648</v>
      </c>
      <c r="G1024" s="6" t="s">
        <v>51</v>
      </c>
      <c r="H1024" s="6" t="s">
        <v>84</v>
      </c>
      <c r="I1024" s="8" t="s">
        <v>85</v>
      </c>
      <c r="J1024" s="9">
        <v>1</v>
      </c>
      <c r="K1024" s="9">
        <v>184</v>
      </c>
      <c r="L1024" s="9">
        <v>2024</v>
      </c>
      <c r="M1024" s="8" t="s">
        <v>5649</v>
      </c>
      <c r="N1024" s="8" t="s">
        <v>40</v>
      </c>
      <c r="O1024" s="8" t="s">
        <v>41</v>
      </c>
      <c r="P1024" s="6" t="s">
        <v>811</v>
      </c>
      <c r="Q1024" s="8" t="s">
        <v>43</v>
      </c>
      <c r="R1024" s="10" t="s">
        <v>5650</v>
      </c>
      <c r="S1024" s="11"/>
      <c r="T1024" s="6"/>
      <c r="U1024" s="28" t="str">
        <f>HYPERLINK("https://media.infra-m.ru/2117/2117060/cover/2117060.jpg", "Обложка")</f>
        <v>Обложка</v>
      </c>
      <c r="V1024" s="28" t="str">
        <f>HYPERLINK("https://znanium.com/catalog/product/2117060", "Ознакомиться")</f>
        <v>Ознакомиться</v>
      </c>
      <c r="W1024" s="8" t="s">
        <v>45</v>
      </c>
      <c r="X1024" s="6"/>
      <c r="Y1024" s="6"/>
      <c r="Z1024" s="6"/>
      <c r="AA1024" s="6" t="s">
        <v>88</v>
      </c>
    </row>
    <row r="1025" spans="1:27" s="4" customFormat="1" ht="42" customHeight="1">
      <c r="A1025" s="5">
        <v>0</v>
      </c>
      <c r="B1025" s="6" t="s">
        <v>5651</v>
      </c>
      <c r="C1025" s="13">
        <v>1420</v>
      </c>
      <c r="D1025" s="8" t="s">
        <v>5652</v>
      </c>
      <c r="E1025" s="8" t="s">
        <v>5653</v>
      </c>
      <c r="F1025" s="8" t="s">
        <v>5654</v>
      </c>
      <c r="G1025" s="6" t="s">
        <v>37</v>
      </c>
      <c r="H1025" s="6" t="s">
        <v>84</v>
      </c>
      <c r="I1025" s="8" t="s">
        <v>85</v>
      </c>
      <c r="J1025" s="9">
        <v>1</v>
      </c>
      <c r="K1025" s="9">
        <v>384</v>
      </c>
      <c r="L1025" s="9">
        <v>2021</v>
      </c>
      <c r="M1025" s="8" t="s">
        <v>5655</v>
      </c>
      <c r="N1025" s="8" t="s">
        <v>40</v>
      </c>
      <c r="O1025" s="8" t="s">
        <v>41</v>
      </c>
      <c r="P1025" s="6" t="s">
        <v>42</v>
      </c>
      <c r="Q1025" s="8" t="s">
        <v>43</v>
      </c>
      <c r="R1025" s="10" t="s">
        <v>340</v>
      </c>
      <c r="S1025" s="11"/>
      <c r="T1025" s="6"/>
      <c r="U1025" s="28" t="str">
        <f>HYPERLINK("https://media.infra-m.ru/1226/1226512/cover/1226512.jpg", "Обложка")</f>
        <v>Обложка</v>
      </c>
      <c r="V1025" s="28" t="str">
        <f>HYPERLINK("https://znanium.com/catalog/product/1226512", "Ознакомиться")</f>
        <v>Ознакомиться</v>
      </c>
      <c r="W1025" s="8" t="s">
        <v>45</v>
      </c>
      <c r="X1025" s="6"/>
      <c r="Y1025" s="6"/>
      <c r="Z1025" s="6"/>
      <c r="AA1025" s="6" t="s">
        <v>88</v>
      </c>
    </row>
    <row r="1026" spans="1:27" s="4" customFormat="1" ht="44.1" customHeight="1">
      <c r="A1026" s="5">
        <v>0</v>
      </c>
      <c r="B1026" s="6" t="s">
        <v>5656</v>
      </c>
      <c r="C1026" s="7">
        <v>574.9</v>
      </c>
      <c r="D1026" s="8" t="s">
        <v>5657</v>
      </c>
      <c r="E1026" s="8" t="s">
        <v>5658</v>
      </c>
      <c r="F1026" s="8" t="s">
        <v>5659</v>
      </c>
      <c r="G1026" s="6" t="s">
        <v>51</v>
      </c>
      <c r="H1026" s="6" t="s">
        <v>1916</v>
      </c>
      <c r="I1026" s="8"/>
      <c r="J1026" s="9">
        <v>1</v>
      </c>
      <c r="K1026" s="9">
        <v>128</v>
      </c>
      <c r="L1026" s="9">
        <v>2023</v>
      </c>
      <c r="M1026" s="8" t="s">
        <v>5660</v>
      </c>
      <c r="N1026" s="8" t="s">
        <v>40</v>
      </c>
      <c r="O1026" s="8" t="s">
        <v>41</v>
      </c>
      <c r="P1026" s="6" t="s">
        <v>4298</v>
      </c>
      <c r="Q1026" s="8" t="s">
        <v>43</v>
      </c>
      <c r="R1026" s="10" t="s">
        <v>3351</v>
      </c>
      <c r="S1026" s="11"/>
      <c r="T1026" s="6"/>
      <c r="U1026" s="28" t="str">
        <f>HYPERLINK("https://media.infra-m.ru/1910/1910874/cover/1910874.jpg", "Обложка")</f>
        <v>Обложка</v>
      </c>
      <c r="V1026" s="28" t="str">
        <f>HYPERLINK("https://znanium.com/catalog/product/1834414", "Ознакомиться")</f>
        <v>Ознакомиться</v>
      </c>
      <c r="W1026" s="8" t="s">
        <v>334</v>
      </c>
      <c r="X1026" s="6"/>
      <c r="Y1026" s="6"/>
      <c r="Z1026" s="6"/>
      <c r="AA1026" s="6" t="s">
        <v>415</v>
      </c>
    </row>
    <row r="1027" spans="1:27" s="4" customFormat="1" ht="51.95" customHeight="1">
      <c r="A1027" s="5">
        <v>0</v>
      </c>
      <c r="B1027" s="6" t="s">
        <v>5661</v>
      </c>
      <c r="C1027" s="7">
        <v>990</v>
      </c>
      <c r="D1027" s="8" t="s">
        <v>5662</v>
      </c>
      <c r="E1027" s="8" t="s">
        <v>5663</v>
      </c>
      <c r="F1027" s="8" t="s">
        <v>5664</v>
      </c>
      <c r="G1027" s="6" t="s">
        <v>37</v>
      </c>
      <c r="H1027" s="6" t="s">
        <v>84</v>
      </c>
      <c r="I1027" s="8" t="s">
        <v>251</v>
      </c>
      <c r="J1027" s="9">
        <v>1</v>
      </c>
      <c r="K1027" s="9">
        <v>187</v>
      </c>
      <c r="L1027" s="9">
        <v>2024</v>
      </c>
      <c r="M1027" s="8" t="s">
        <v>5665</v>
      </c>
      <c r="N1027" s="8" t="s">
        <v>40</v>
      </c>
      <c r="O1027" s="8" t="s">
        <v>41</v>
      </c>
      <c r="P1027" s="6" t="s">
        <v>42</v>
      </c>
      <c r="Q1027" s="8" t="s">
        <v>43</v>
      </c>
      <c r="R1027" s="10" t="s">
        <v>60</v>
      </c>
      <c r="S1027" s="11"/>
      <c r="T1027" s="6"/>
      <c r="U1027" s="28" t="str">
        <f>HYPERLINK("https://media.infra-m.ru/2083/2083102/cover/2083102.jpg", "Обложка")</f>
        <v>Обложка</v>
      </c>
      <c r="V1027" s="28" t="str">
        <f>HYPERLINK("https://znanium.com/catalog/product/2083102", "Ознакомиться")</f>
        <v>Ознакомиться</v>
      </c>
      <c r="W1027" s="8" t="s">
        <v>158</v>
      </c>
      <c r="X1027" s="6"/>
      <c r="Y1027" s="6"/>
      <c r="Z1027" s="6"/>
      <c r="AA1027" s="6" t="s">
        <v>343</v>
      </c>
    </row>
    <row r="1028" spans="1:27" s="4" customFormat="1" ht="51.95" customHeight="1">
      <c r="A1028" s="5">
        <v>0</v>
      </c>
      <c r="B1028" s="6" t="s">
        <v>5666</v>
      </c>
      <c r="C1028" s="7">
        <v>970</v>
      </c>
      <c r="D1028" s="8" t="s">
        <v>5667</v>
      </c>
      <c r="E1028" s="8" t="s">
        <v>5668</v>
      </c>
      <c r="F1028" s="8" t="s">
        <v>3117</v>
      </c>
      <c r="G1028" s="6" t="s">
        <v>51</v>
      </c>
      <c r="H1028" s="6" t="s">
        <v>84</v>
      </c>
      <c r="I1028" s="8" t="s">
        <v>251</v>
      </c>
      <c r="J1028" s="9">
        <v>1</v>
      </c>
      <c r="K1028" s="9">
        <v>210</v>
      </c>
      <c r="L1028" s="9">
        <v>2024</v>
      </c>
      <c r="M1028" s="8" t="s">
        <v>5669</v>
      </c>
      <c r="N1028" s="8" t="s">
        <v>40</v>
      </c>
      <c r="O1028" s="8" t="s">
        <v>41</v>
      </c>
      <c r="P1028" s="6" t="s">
        <v>42</v>
      </c>
      <c r="Q1028" s="8" t="s">
        <v>43</v>
      </c>
      <c r="R1028" s="10" t="s">
        <v>5670</v>
      </c>
      <c r="S1028" s="11"/>
      <c r="T1028" s="6"/>
      <c r="U1028" s="28" t="str">
        <f>HYPERLINK("https://media.infra-m.ru/2083/2083372/cover/2083372.jpg", "Обложка")</f>
        <v>Обложка</v>
      </c>
      <c r="V1028" s="28" t="str">
        <f>HYPERLINK("https://znanium.com/catalog/product/2083372", "Ознакомиться")</f>
        <v>Ознакомиться</v>
      </c>
      <c r="W1028" s="8" t="s">
        <v>375</v>
      </c>
      <c r="X1028" s="6"/>
      <c r="Y1028" s="6"/>
      <c r="Z1028" s="6"/>
      <c r="AA1028" s="6" t="s">
        <v>408</v>
      </c>
    </row>
    <row r="1029" spans="1:27" s="4" customFormat="1" ht="51.95" customHeight="1">
      <c r="A1029" s="5">
        <v>0</v>
      </c>
      <c r="B1029" s="6" t="s">
        <v>5671</v>
      </c>
      <c r="C1029" s="13">
        <v>2800</v>
      </c>
      <c r="D1029" s="8" t="s">
        <v>5672</v>
      </c>
      <c r="E1029" s="8" t="s">
        <v>5673</v>
      </c>
      <c r="F1029" s="8" t="s">
        <v>5674</v>
      </c>
      <c r="G1029" s="6" t="s">
        <v>58</v>
      </c>
      <c r="H1029" s="6" t="s">
        <v>84</v>
      </c>
      <c r="I1029" s="8" t="s">
        <v>1140</v>
      </c>
      <c r="J1029" s="9">
        <v>1</v>
      </c>
      <c r="K1029" s="9">
        <v>642</v>
      </c>
      <c r="L1029" s="9">
        <v>2023</v>
      </c>
      <c r="M1029" s="8" t="s">
        <v>5675</v>
      </c>
      <c r="N1029" s="8" t="s">
        <v>40</v>
      </c>
      <c r="O1029" s="8" t="s">
        <v>41</v>
      </c>
      <c r="P1029" s="6" t="s">
        <v>95</v>
      </c>
      <c r="Q1029" s="8" t="s">
        <v>1199</v>
      </c>
      <c r="R1029" s="10" t="s">
        <v>5676</v>
      </c>
      <c r="S1029" s="11" t="s">
        <v>5677</v>
      </c>
      <c r="T1029" s="6"/>
      <c r="U1029" s="28" t="str">
        <f>HYPERLINK("https://media.infra-m.ru/2063/2063429/cover/2063429.jpg", "Обложка")</f>
        <v>Обложка</v>
      </c>
      <c r="V1029" s="28" t="str">
        <f>HYPERLINK("https://znanium.com/catalog/product/1891229", "Ознакомиться")</f>
        <v>Ознакомиться</v>
      </c>
      <c r="W1029" s="8" t="s">
        <v>813</v>
      </c>
      <c r="X1029" s="6"/>
      <c r="Y1029" s="6"/>
      <c r="Z1029" s="6"/>
      <c r="AA1029" s="6" t="s">
        <v>408</v>
      </c>
    </row>
    <row r="1030" spans="1:27" s="4" customFormat="1" ht="51.95" customHeight="1">
      <c r="A1030" s="5">
        <v>0</v>
      </c>
      <c r="B1030" s="6" t="s">
        <v>5678</v>
      </c>
      <c r="C1030" s="7">
        <v>984</v>
      </c>
      <c r="D1030" s="8" t="s">
        <v>5679</v>
      </c>
      <c r="E1030" s="8" t="s">
        <v>5680</v>
      </c>
      <c r="F1030" s="8" t="s">
        <v>5681</v>
      </c>
      <c r="G1030" s="6" t="s">
        <v>37</v>
      </c>
      <c r="H1030" s="6" t="s">
        <v>84</v>
      </c>
      <c r="I1030" s="8" t="s">
        <v>316</v>
      </c>
      <c r="J1030" s="9">
        <v>1</v>
      </c>
      <c r="K1030" s="9">
        <v>211</v>
      </c>
      <c r="L1030" s="9">
        <v>2023</v>
      </c>
      <c r="M1030" s="8" t="s">
        <v>5682</v>
      </c>
      <c r="N1030" s="8" t="s">
        <v>40</v>
      </c>
      <c r="O1030" s="8" t="s">
        <v>41</v>
      </c>
      <c r="P1030" s="6" t="s">
        <v>75</v>
      </c>
      <c r="Q1030" s="8" t="s">
        <v>157</v>
      </c>
      <c r="R1030" s="10" t="s">
        <v>5683</v>
      </c>
      <c r="S1030" s="11" t="s">
        <v>5684</v>
      </c>
      <c r="T1030" s="6"/>
      <c r="U1030" s="28" t="str">
        <f>HYPERLINK("https://media.infra-m.ru/2115/2115297/cover/2115297.jpg", "Обложка")</f>
        <v>Обложка</v>
      </c>
      <c r="V1030" s="28" t="str">
        <f>HYPERLINK("https://znanium.com/catalog/product/2115295", "Ознакомиться")</f>
        <v>Ознакомиться</v>
      </c>
      <c r="W1030" s="8" t="s">
        <v>3206</v>
      </c>
      <c r="X1030" s="6"/>
      <c r="Y1030" s="6"/>
      <c r="Z1030" s="6"/>
      <c r="AA1030" s="6" t="s">
        <v>343</v>
      </c>
    </row>
    <row r="1031" spans="1:27" s="4" customFormat="1" ht="44.1" customHeight="1">
      <c r="A1031" s="5">
        <v>0</v>
      </c>
      <c r="B1031" s="6" t="s">
        <v>5685</v>
      </c>
      <c r="C1031" s="7">
        <v>620</v>
      </c>
      <c r="D1031" s="8" t="s">
        <v>5686</v>
      </c>
      <c r="E1031" s="8" t="s">
        <v>5687</v>
      </c>
      <c r="F1031" s="8" t="s">
        <v>5688</v>
      </c>
      <c r="G1031" s="6" t="s">
        <v>37</v>
      </c>
      <c r="H1031" s="6" t="s">
        <v>38</v>
      </c>
      <c r="I1031" s="8"/>
      <c r="J1031" s="9">
        <v>1</v>
      </c>
      <c r="K1031" s="9">
        <v>128</v>
      </c>
      <c r="L1031" s="9">
        <v>2024</v>
      </c>
      <c r="M1031" s="8" t="s">
        <v>5689</v>
      </c>
      <c r="N1031" s="8" t="s">
        <v>40</v>
      </c>
      <c r="O1031" s="8" t="s">
        <v>41</v>
      </c>
      <c r="P1031" s="6" t="s">
        <v>75</v>
      </c>
      <c r="Q1031" s="8" t="s">
        <v>76</v>
      </c>
      <c r="R1031" s="10" t="s">
        <v>782</v>
      </c>
      <c r="S1031" s="11"/>
      <c r="T1031" s="6"/>
      <c r="U1031" s="28" t="str">
        <f>HYPERLINK("https://media.infra-m.ru/2098/2098049/cover/2098049.jpg", "Обложка")</f>
        <v>Обложка</v>
      </c>
      <c r="V1031" s="28" t="str">
        <f>HYPERLINK("https://znanium.com/catalog/product/2098049", "Ознакомиться")</f>
        <v>Ознакомиться</v>
      </c>
      <c r="W1031" s="8" t="s">
        <v>114</v>
      </c>
      <c r="X1031" s="6"/>
      <c r="Y1031" s="6"/>
      <c r="Z1031" s="6"/>
      <c r="AA1031" s="6" t="s">
        <v>62</v>
      </c>
    </row>
    <row r="1032" spans="1:27" s="4" customFormat="1" ht="51.95" customHeight="1">
      <c r="A1032" s="5">
        <v>0</v>
      </c>
      <c r="B1032" s="6" t="s">
        <v>5690</v>
      </c>
      <c r="C1032" s="13">
        <v>1990</v>
      </c>
      <c r="D1032" s="8" t="s">
        <v>5691</v>
      </c>
      <c r="E1032" s="8" t="s">
        <v>5692</v>
      </c>
      <c r="F1032" s="8" t="s">
        <v>4168</v>
      </c>
      <c r="G1032" s="6" t="s">
        <v>37</v>
      </c>
      <c r="H1032" s="6" t="s">
        <v>38</v>
      </c>
      <c r="I1032" s="8"/>
      <c r="J1032" s="9">
        <v>1</v>
      </c>
      <c r="K1032" s="9">
        <v>448</v>
      </c>
      <c r="L1032" s="9">
        <v>2023</v>
      </c>
      <c r="M1032" s="8" t="s">
        <v>5693</v>
      </c>
      <c r="N1032" s="8" t="s">
        <v>40</v>
      </c>
      <c r="O1032" s="8" t="s">
        <v>41</v>
      </c>
      <c r="P1032" s="6" t="s">
        <v>75</v>
      </c>
      <c r="Q1032" s="8" t="s">
        <v>76</v>
      </c>
      <c r="R1032" s="10" t="s">
        <v>235</v>
      </c>
      <c r="S1032" s="11"/>
      <c r="T1032" s="6"/>
      <c r="U1032" s="28" t="str">
        <f>HYPERLINK("https://media.infra-m.ru/1927/1927399/cover/1927399.jpg", "Обложка")</f>
        <v>Обложка</v>
      </c>
      <c r="V1032" s="28" t="str">
        <f>HYPERLINK("https://znanium.com/catalog/product/1927399", "Ознакомиться")</f>
        <v>Ознакомиться</v>
      </c>
      <c r="W1032" s="8" t="s">
        <v>700</v>
      </c>
      <c r="X1032" s="6"/>
      <c r="Y1032" s="6"/>
      <c r="Z1032" s="6"/>
      <c r="AA1032" s="6" t="s">
        <v>706</v>
      </c>
    </row>
    <row r="1033" spans="1:27" s="4" customFormat="1" ht="51.95" customHeight="1">
      <c r="A1033" s="5">
        <v>0</v>
      </c>
      <c r="B1033" s="6" t="s">
        <v>5694</v>
      </c>
      <c r="C1033" s="7">
        <v>530</v>
      </c>
      <c r="D1033" s="8" t="s">
        <v>5695</v>
      </c>
      <c r="E1033" s="8" t="s">
        <v>5696</v>
      </c>
      <c r="F1033" s="8" t="s">
        <v>5697</v>
      </c>
      <c r="G1033" s="6" t="s">
        <v>51</v>
      </c>
      <c r="H1033" s="6" t="s">
        <v>38</v>
      </c>
      <c r="I1033" s="8"/>
      <c r="J1033" s="9">
        <v>1</v>
      </c>
      <c r="K1033" s="9">
        <v>112</v>
      </c>
      <c r="L1033" s="9">
        <v>2023</v>
      </c>
      <c r="M1033" s="8" t="s">
        <v>5698</v>
      </c>
      <c r="N1033" s="8" t="s">
        <v>40</v>
      </c>
      <c r="O1033" s="8" t="s">
        <v>41</v>
      </c>
      <c r="P1033" s="6" t="s">
        <v>75</v>
      </c>
      <c r="Q1033" s="8" t="s">
        <v>76</v>
      </c>
      <c r="R1033" s="10" t="s">
        <v>318</v>
      </c>
      <c r="S1033" s="11"/>
      <c r="T1033" s="6"/>
      <c r="U1033" s="28" t="str">
        <f>HYPERLINK("https://media.infra-m.ru/1981/1981721/cover/1981721.jpg", "Обложка")</f>
        <v>Обложка</v>
      </c>
      <c r="V1033" s="28" t="str">
        <f>HYPERLINK("https://znanium.com/catalog/product/1981721", "Ознакомиться")</f>
        <v>Ознакомиться</v>
      </c>
      <c r="W1033" s="8" t="s">
        <v>114</v>
      </c>
      <c r="X1033" s="6"/>
      <c r="Y1033" s="6"/>
      <c r="Z1033" s="6"/>
      <c r="AA1033" s="6" t="s">
        <v>148</v>
      </c>
    </row>
    <row r="1034" spans="1:27" s="4" customFormat="1" ht="51.95" customHeight="1">
      <c r="A1034" s="5">
        <v>0</v>
      </c>
      <c r="B1034" s="6" t="s">
        <v>5699</v>
      </c>
      <c r="C1034" s="13">
        <v>1260</v>
      </c>
      <c r="D1034" s="8" t="s">
        <v>5700</v>
      </c>
      <c r="E1034" s="8" t="s">
        <v>5701</v>
      </c>
      <c r="F1034" s="8" t="s">
        <v>5702</v>
      </c>
      <c r="G1034" s="6" t="s">
        <v>37</v>
      </c>
      <c r="H1034" s="6" t="s">
        <v>1247</v>
      </c>
      <c r="I1034" s="8" t="s">
        <v>93</v>
      </c>
      <c r="J1034" s="9">
        <v>1</v>
      </c>
      <c r="K1034" s="9">
        <v>272</v>
      </c>
      <c r="L1034" s="9">
        <v>2024</v>
      </c>
      <c r="M1034" s="8" t="s">
        <v>5703</v>
      </c>
      <c r="N1034" s="8" t="s">
        <v>40</v>
      </c>
      <c r="O1034" s="8" t="s">
        <v>41</v>
      </c>
      <c r="P1034" s="6" t="s">
        <v>75</v>
      </c>
      <c r="Q1034" s="8" t="s">
        <v>96</v>
      </c>
      <c r="R1034" s="10" t="s">
        <v>5704</v>
      </c>
      <c r="S1034" s="11"/>
      <c r="T1034" s="6"/>
      <c r="U1034" s="28" t="str">
        <f>HYPERLINK("https://media.infra-m.ru/2096/2096783/cover/2096783.jpg", "Обложка")</f>
        <v>Обложка</v>
      </c>
      <c r="V1034" s="28" t="str">
        <f>HYPERLINK("https://znanium.com/catalog/product/2096783", "Ознакомиться")</f>
        <v>Ознакомиться</v>
      </c>
      <c r="W1034" s="8" t="s">
        <v>3770</v>
      </c>
      <c r="X1034" s="6"/>
      <c r="Y1034" s="6"/>
      <c r="Z1034" s="6" t="s">
        <v>136</v>
      </c>
      <c r="AA1034" s="6" t="s">
        <v>408</v>
      </c>
    </row>
    <row r="1035" spans="1:27" s="4" customFormat="1" ht="51.95" customHeight="1">
      <c r="A1035" s="5">
        <v>0</v>
      </c>
      <c r="B1035" s="6" t="s">
        <v>5705</v>
      </c>
      <c r="C1035" s="13">
        <v>1260</v>
      </c>
      <c r="D1035" s="8" t="s">
        <v>5700</v>
      </c>
      <c r="E1035" s="8" t="s">
        <v>5701</v>
      </c>
      <c r="F1035" s="8" t="s">
        <v>5702</v>
      </c>
      <c r="G1035" s="6" t="s">
        <v>37</v>
      </c>
      <c r="H1035" s="6" t="s">
        <v>1247</v>
      </c>
      <c r="I1035" s="8" t="s">
        <v>120</v>
      </c>
      <c r="J1035" s="9">
        <v>1</v>
      </c>
      <c r="K1035" s="9">
        <v>272</v>
      </c>
      <c r="L1035" s="9">
        <v>2024</v>
      </c>
      <c r="M1035" s="8" t="s">
        <v>5706</v>
      </c>
      <c r="N1035" s="8" t="s">
        <v>40</v>
      </c>
      <c r="O1035" s="8" t="s">
        <v>41</v>
      </c>
      <c r="P1035" s="6" t="s">
        <v>75</v>
      </c>
      <c r="Q1035" s="8" t="s">
        <v>76</v>
      </c>
      <c r="R1035" s="10" t="s">
        <v>5704</v>
      </c>
      <c r="S1035" s="11" t="s">
        <v>5707</v>
      </c>
      <c r="T1035" s="6"/>
      <c r="U1035" s="28" t="str">
        <f>HYPERLINK("https://media.infra-m.ru/2119/2119942/cover/2119942.jpg", "Обложка")</f>
        <v>Обложка</v>
      </c>
      <c r="V1035" s="28" t="str">
        <f>HYPERLINK("https://znanium.com/catalog/product/2119942", "Ознакомиться")</f>
        <v>Ознакомиться</v>
      </c>
      <c r="W1035" s="8" t="s">
        <v>3770</v>
      </c>
      <c r="X1035" s="6"/>
      <c r="Y1035" s="6"/>
      <c r="Z1035" s="6"/>
      <c r="AA1035" s="6" t="s">
        <v>298</v>
      </c>
    </row>
    <row r="1036" spans="1:27" s="4" customFormat="1" ht="51.95" customHeight="1">
      <c r="A1036" s="5">
        <v>0</v>
      </c>
      <c r="B1036" s="6" t="s">
        <v>5708</v>
      </c>
      <c r="C1036" s="13">
        <v>1270</v>
      </c>
      <c r="D1036" s="8" t="s">
        <v>5709</v>
      </c>
      <c r="E1036" s="8" t="s">
        <v>5710</v>
      </c>
      <c r="F1036" s="8" t="s">
        <v>5711</v>
      </c>
      <c r="G1036" s="6" t="s">
        <v>37</v>
      </c>
      <c r="H1036" s="6" t="s">
        <v>52</v>
      </c>
      <c r="I1036" s="8" t="s">
        <v>120</v>
      </c>
      <c r="J1036" s="9">
        <v>1</v>
      </c>
      <c r="K1036" s="9">
        <v>275</v>
      </c>
      <c r="L1036" s="9">
        <v>2024</v>
      </c>
      <c r="M1036" s="8" t="s">
        <v>5712</v>
      </c>
      <c r="N1036" s="8" t="s">
        <v>40</v>
      </c>
      <c r="O1036" s="8" t="s">
        <v>41</v>
      </c>
      <c r="P1036" s="6" t="s">
        <v>75</v>
      </c>
      <c r="Q1036" s="8" t="s">
        <v>680</v>
      </c>
      <c r="R1036" s="10" t="s">
        <v>558</v>
      </c>
      <c r="S1036" s="11"/>
      <c r="T1036" s="6" t="s">
        <v>368</v>
      </c>
      <c r="U1036" s="28" t="str">
        <f>HYPERLINK("https://media.infra-m.ru/1872/1872521/cover/1872521.jpg", "Обложка")</f>
        <v>Обложка</v>
      </c>
      <c r="V1036" s="28" t="str">
        <f>HYPERLINK("https://znanium.com/catalog/product/1872521", "Ознакомиться")</f>
        <v>Ознакомиться</v>
      </c>
      <c r="W1036" s="8" t="s">
        <v>692</v>
      </c>
      <c r="X1036" s="6"/>
      <c r="Y1036" s="6"/>
      <c r="Z1036" s="6"/>
      <c r="AA1036" s="6" t="s">
        <v>148</v>
      </c>
    </row>
    <row r="1037" spans="1:27" s="4" customFormat="1" ht="42" customHeight="1">
      <c r="A1037" s="5">
        <v>0</v>
      </c>
      <c r="B1037" s="6" t="s">
        <v>5713</v>
      </c>
      <c r="C1037" s="13">
        <v>2130</v>
      </c>
      <c r="D1037" s="8" t="s">
        <v>5714</v>
      </c>
      <c r="E1037" s="8" t="s">
        <v>5715</v>
      </c>
      <c r="F1037" s="8" t="s">
        <v>5716</v>
      </c>
      <c r="G1037" s="6" t="s">
        <v>37</v>
      </c>
      <c r="H1037" s="6" t="s">
        <v>38</v>
      </c>
      <c r="I1037" s="8"/>
      <c r="J1037" s="9">
        <v>1</v>
      </c>
      <c r="K1037" s="9">
        <v>576</v>
      </c>
      <c r="L1037" s="9">
        <v>2022</v>
      </c>
      <c r="M1037" s="8" t="s">
        <v>5717</v>
      </c>
      <c r="N1037" s="8" t="s">
        <v>40</v>
      </c>
      <c r="O1037" s="8" t="s">
        <v>41</v>
      </c>
      <c r="P1037" s="6" t="s">
        <v>42</v>
      </c>
      <c r="Q1037" s="8" t="s">
        <v>43</v>
      </c>
      <c r="R1037" s="10" t="s">
        <v>69</v>
      </c>
      <c r="S1037" s="11"/>
      <c r="T1037" s="6"/>
      <c r="U1037" s="28" t="str">
        <f>HYPERLINK("https://media.infra-m.ru/1808/1808769/cover/1808769.jpg", "Обложка")</f>
        <v>Обложка</v>
      </c>
      <c r="V1037" s="28" t="str">
        <f>HYPERLINK("https://znanium.com/catalog/product/1808769", "Ознакомиться")</f>
        <v>Ознакомиться</v>
      </c>
      <c r="W1037" s="8" t="s">
        <v>375</v>
      </c>
      <c r="X1037" s="6"/>
      <c r="Y1037" s="6"/>
      <c r="Z1037" s="6"/>
      <c r="AA1037" s="6" t="s">
        <v>79</v>
      </c>
    </row>
    <row r="1038" spans="1:27" s="4" customFormat="1" ht="51.95" customHeight="1">
      <c r="A1038" s="5">
        <v>0</v>
      </c>
      <c r="B1038" s="6" t="s">
        <v>5718</v>
      </c>
      <c r="C1038" s="13">
        <v>1694.9</v>
      </c>
      <c r="D1038" s="8" t="s">
        <v>5719</v>
      </c>
      <c r="E1038" s="8" t="s">
        <v>5720</v>
      </c>
      <c r="F1038" s="8" t="s">
        <v>5721</v>
      </c>
      <c r="G1038" s="6" t="s">
        <v>58</v>
      </c>
      <c r="H1038" s="6" t="s">
        <v>38</v>
      </c>
      <c r="I1038" s="8" t="s">
        <v>5722</v>
      </c>
      <c r="J1038" s="9">
        <v>1</v>
      </c>
      <c r="K1038" s="9">
        <v>688</v>
      </c>
      <c r="L1038" s="9">
        <v>2017</v>
      </c>
      <c r="M1038" s="8" t="s">
        <v>5723</v>
      </c>
      <c r="N1038" s="8" t="s">
        <v>40</v>
      </c>
      <c r="O1038" s="8" t="s">
        <v>41</v>
      </c>
      <c r="P1038" s="6" t="s">
        <v>42</v>
      </c>
      <c r="Q1038" s="8" t="s">
        <v>43</v>
      </c>
      <c r="R1038" s="10" t="s">
        <v>3810</v>
      </c>
      <c r="S1038" s="11"/>
      <c r="T1038" s="6"/>
      <c r="U1038" s="28" t="str">
        <f>HYPERLINK("https://media.infra-m.ru/1919/1919389/cover/1919389.jpg", "Обложка")</f>
        <v>Обложка</v>
      </c>
      <c r="V1038" s="28" t="str">
        <f>HYPERLINK("https://znanium.com/catalog/product/496502", "Ознакомиться")</f>
        <v>Ознакомиться</v>
      </c>
      <c r="W1038" s="8"/>
      <c r="X1038" s="6"/>
      <c r="Y1038" s="6"/>
      <c r="Z1038" s="6"/>
      <c r="AA1038" s="6" t="s">
        <v>298</v>
      </c>
    </row>
    <row r="1039" spans="1:27" s="4" customFormat="1" ht="42" customHeight="1">
      <c r="A1039" s="5">
        <v>0</v>
      </c>
      <c r="B1039" s="6" t="s">
        <v>5724</v>
      </c>
      <c r="C1039" s="7">
        <v>650</v>
      </c>
      <c r="D1039" s="8" t="s">
        <v>5725</v>
      </c>
      <c r="E1039" s="8" t="s">
        <v>5726</v>
      </c>
      <c r="F1039" s="8" t="s">
        <v>5727</v>
      </c>
      <c r="G1039" s="6" t="s">
        <v>51</v>
      </c>
      <c r="H1039" s="6" t="s">
        <v>84</v>
      </c>
      <c r="I1039" s="8" t="s">
        <v>251</v>
      </c>
      <c r="J1039" s="9">
        <v>1</v>
      </c>
      <c r="K1039" s="9">
        <v>160</v>
      </c>
      <c r="L1039" s="9">
        <v>2022</v>
      </c>
      <c r="M1039" s="8" t="s">
        <v>5728</v>
      </c>
      <c r="N1039" s="8" t="s">
        <v>40</v>
      </c>
      <c r="O1039" s="8" t="s">
        <v>41</v>
      </c>
      <c r="P1039" s="6" t="s">
        <v>42</v>
      </c>
      <c r="Q1039" s="8" t="s">
        <v>43</v>
      </c>
      <c r="R1039" s="10" t="s">
        <v>69</v>
      </c>
      <c r="S1039" s="11"/>
      <c r="T1039" s="6"/>
      <c r="U1039" s="28" t="str">
        <f>HYPERLINK("https://media.infra-m.ru/1845/1845985/cover/1845985.jpg", "Обложка")</f>
        <v>Обложка</v>
      </c>
      <c r="V1039" s="28" t="str">
        <f>HYPERLINK("https://znanium.com/catalog/product/1845985", "Ознакомиться")</f>
        <v>Ознакомиться</v>
      </c>
      <c r="W1039" s="8" t="s">
        <v>107</v>
      </c>
      <c r="X1039" s="6"/>
      <c r="Y1039" s="6"/>
      <c r="Z1039" s="6"/>
      <c r="AA1039" s="6" t="s">
        <v>343</v>
      </c>
    </row>
    <row r="1040" spans="1:27" s="4" customFormat="1" ht="42" customHeight="1">
      <c r="A1040" s="5">
        <v>0</v>
      </c>
      <c r="B1040" s="6" t="s">
        <v>5729</v>
      </c>
      <c r="C1040" s="13">
        <v>1544</v>
      </c>
      <c r="D1040" s="8" t="s">
        <v>5730</v>
      </c>
      <c r="E1040" s="8" t="s">
        <v>5731</v>
      </c>
      <c r="F1040" s="8" t="s">
        <v>935</v>
      </c>
      <c r="G1040" s="6" t="s">
        <v>58</v>
      </c>
      <c r="H1040" s="6" t="s">
        <v>38</v>
      </c>
      <c r="I1040" s="8"/>
      <c r="J1040" s="9">
        <v>1</v>
      </c>
      <c r="K1040" s="9">
        <v>336</v>
      </c>
      <c r="L1040" s="9">
        <v>2023</v>
      </c>
      <c r="M1040" s="8" t="s">
        <v>5732</v>
      </c>
      <c r="N1040" s="8" t="s">
        <v>40</v>
      </c>
      <c r="O1040" s="8" t="s">
        <v>41</v>
      </c>
      <c r="P1040" s="6" t="s">
        <v>42</v>
      </c>
      <c r="Q1040" s="8" t="s">
        <v>43</v>
      </c>
      <c r="R1040" s="10" t="s">
        <v>304</v>
      </c>
      <c r="S1040" s="11"/>
      <c r="T1040" s="6"/>
      <c r="U1040" s="28" t="str">
        <f>HYPERLINK("https://media.infra-m.ru/2041/2041703/cover/2041703.jpg", "Обложка")</f>
        <v>Обложка</v>
      </c>
      <c r="V1040" s="28" t="str">
        <f>HYPERLINK("https://znanium.com/catalog/product/1840498", "Ознакомиться")</f>
        <v>Ознакомиться</v>
      </c>
      <c r="W1040" s="8" t="s">
        <v>78</v>
      </c>
      <c r="X1040" s="6"/>
      <c r="Y1040" s="6"/>
      <c r="Z1040" s="6"/>
      <c r="AA1040" s="6" t="s">
        <v>622</v>
      </c>
    </row>
    <row r="1041" spans="1:27" s="4" customFormat="1" ht="51.95" customHeight="1">
      <c r="A1041" s="5">
        <v>0</v>
      </c>
      <c r="B1041" s="6" t="s">
        <v>5733</v>
      </c>
      <c r="C1041" s="13">
        <v>1034.9000000000001</v>
      </c>
      <c r="D1041" s="8" t="s">
        <v>5734</v>
      </c>
      <c r="E1041" s="8" t="s">
        <v>5735</v>
      </c>
      <c r="F1041" s="8" t="s">
        <v>5736</v>
      </c>
      <c r="G1041" s="6" t="s">
        <v>58</v>
      </c>
      <c r="H1041" s="6" t="s">
        <v>38</v>
      </c>
      <c r="I1041" s="8"/>
      <c r="J1041" s="9">
        <v>1</v>
      </c>
      <c r="K1041" s="9">
        <v>304</v>
      </c>
      <c r="L1041" s="9">
        <v>2019</v>
      </c>
      <c r="M1041" s="8" t="s">
        <v>5737</v>
      </c>
      <c r="N1041" s="8" t="s">
        <v>40</v>
      </c>
      <c r="O1041" s="8" t="s">
        <v>41</v>
      </c>
      <c r="P1041" s="6" t="s">
        <v>42</v>
      </c>
      <c r="Q1041" s="8" t="s">
        <v>157</v>
      </c>
      <c r="R1041" s="10" t="s">
        <v>5738</v>
      </c>
      <c r="S1041" s="11"/>
      <c r="T1041" s="6"/>
      <c r="U1041" s="28" t="str">
        <f>HYPERLINK("https://media.infra-m.ru/1011/1011092/cover/1011092.jpg", "Обложка")</f>
        <v>Обложка</v>
      </c>
      <c r="V1041" s="28" t="str">
        <f>HYPERLINK("https://znanium.com/catalog/product/1011092", "Ознакомиться")</f>
        <v>Ознакомиться</v>
      </c>
      <c r="W1041" s="8" t="s">
        <v>114</v>
      </c>
      <c r="X1041" s="6"/>
      <c r="Y1041" s="6"/>
      <c r="Z1041" s="6"/>
      <c r="AA1041" s="6" t="s">
        <v>148</v>
      </c>
    </row>
    <row r="1042" spans="1:27" s="4" customFormat="1" ht="42" customHeight="1">
      <c r="A1042" s="5">
        <v>0</v>
      </c>
      <c r="B1042" s="6" t="s">
        <v>5739</v>
      </c>
      <c r="C1042" s="13">
        <v>1154.9000000000001</v>
      </c>
      <c r="D1042" s="8" t="s">
        <v>5740</v>
      </c>
      <c r="E1042" s="8" t="s">
        <v>5741</v>
      </c>
      <c r="F1042" s="8" t="s">
        <v>5742</v>
      </c>
      <c r="G1042" s="6" t="s">
        <v>58</v>
      </c>
      <c r="H1042" s="6" t="s">
        <v>84</v>
      </c>
      <c r="I1042" s="8" t="s">
        <v>85</v>
      </c>
      <c r="J1042" s="9">
        <v>1</v>
      </c>
      <c r="K1042" s="9">
        <v>256</v>
      </c>
      <c r="L1042" s="9">
        <v>2023</v>
      </c>
      <c r="M1042" s="8" t="s">
        <v>5743</v>
      </c>
      <c r="N1042" s="8" t="s">
        <v>40</v>
      </c>
      <c r="O1042" s="8" t="s">
        <v>41</v>
      </c>
      <c r="P1042" s="6" t="s">
        <v>42</v>
      </c>
      <c r="Q1042" s="8" t="s">
        <v>43</v>
      </c>
      <c r="R1042" s="10" t="s">
        <v>113</v>
      </c>
      <c r="S1042" s="11"/>
      <c r="T1042" s="6"/>
      <c r="U1042" s="28" t="str">
        <f>HYPERLINK("https://media.infra-m.ru/2030/2030894/cover/2030894.jpg", "Обложка")</f>
        <v>Обложка</v>
      </c>
      <c r="V1042" s="28" t="str">
        <f>HYPERLINK("https://znanium.com/catalog/product/999954", "Ознакомиться")</f>
        <v>Ознакомиться</v>
      </c>
      <c r="W1042" s="8" t="s">
        <v>45</v>
      </c>
      <c r="X1042" s="6"/>
      <c r="Y1042" s="6"/>
      <c r="Z1042" s="6"/>
      <c r="AA1042" s="6" t="s">
        <v>79</v>
      </c>
    </row>
    <row r="1043" spans="1:27" s="4" customFormat="1" ht="51.95" customHeight="1">
      <c r="A1043" s="5">
        <v>0</v>
      </c>
      <c r="B1043" s="6" t="s">
        <v>5744</v>
      </c>
      <c r="C1043" s="13">
        <v>1070</v>
      </c>
      <c r="D1043" s="8" t="s">
        <v>5745</v>
      </c>
      <c r="E1043" s="8" t="s">
        <v>5746</v>
      </c>
      <c r="F1043" s="8" t="s">
        <v>5747</v>
      </c>
      <c r="G1043" s="6" t="s">
        <v>37</v>
      </c>
      <c r="H1043" s="6" t="s">
        <v>38</v>
      </c>
      <c r="I1043" s="8"/>
      <c r="J1043" s="9">
        <v>1</v>
      </c>
      <c r="K1043" s="9">
        <v>288</v>
      </c>
      <c r="L1043" s="9">
        <v>2021</v>
      </c>
      <c r="M1043" s="8" t="s">
        <v>5748</v>
      </c>
      <c r="N1043" s="8" t="s">
        <v>40</v>
      </c>
      <c r="O1043" s="8" t="s">
        <v>41</v>
      </c>
      <c r="P1043" s="6" t="s">
        <v>42</v>
      </c>
      <c r="Q1043" s="8" t="s">
        <v>43</v>
      </c>
      <c r="R1043" s="10" t="s">
        <v>5749</v>
      </c>
      <c r="S1043" s="11"/>
      <c r="T1043" s="6"/>
      <c r="U1043" s="28" t="str">
        <f>HYPERLINK("https://media.infra-m.ru/1197/1197241/cover/1197241.jpg", "Обложка")</f>
        <v>Обложка</v>
      </c>
      <c r="V1043" s="28" t="str">
        <f>HYPERLINK("https://znanium.com/catalog/product/1197241", "Ознакомиться")</f>
        <v>Ознакомиться</v>
      </c>
      <c r="W1043" s="8" t="s">
        <v>5750</v>
      </c>
      <c r="X1043" s="6"/>
      <c r="Y1043" s="6"/>
      <c r="Z1043" s="6"/>
      <c r="AA1043" s="6" t="s">
        <v>148</v>
      </c>
    </row>
    <row r="1044" spans="1:27" s="4" customFormat="1" ht="42" customHeight="1">
      <c r="A1044" s="5">
        <v>0</v>
      </c>
      <c r="B1044" s="6" t="s">
        <v>5751</v>
      </c>
      <c r="C1044" s="13">
        <v>1560</v>
      </c>
      <c r="D1044" s="8" t="s">
        <v>5752</v>
      </c>
      <c r="E1044" s="8" t="s">
        <v>5753</v>
      </c>
      <c r="F1044" s="8" t="s">
        <v>5754</v>
      </c>
      <c r="G1044" s="6" t="s">
        <v>37</v>
      </c>
      <c r="H1044" s="6" t="s">
        <v>84</v>
      </c>
      <c r="I1044" s="8" t="s">
        <v>251</v>
      </c>
      <c r="J1044" s="9">
        <v>1</v>
      </c>
      <c r="K1044" s="9">
        <v>338</v>
      </c>
      <c r="L1044" s="9">
        <v>2023</v>
      </c>
      <c r="M1044" s="8" t="s">
        <v>5755</v>
      </c>
      <c r="N1044" s="8" t="s">
        <v>40</v>
      </c>
      <c r="O1044" s="8" t="s">
        <v>41</v>
      </c>
      <c r="P1044" s="6" t="s">
        <v>42</v>
      </c>
      <c r="Q1044" s="8" t="s">
        <v>43</v>
      </c>
      <c r="R1044" s="10" t="s">
        <v>69</v>
      </c>
      <c r="S1044" s="11"/>
      <c r="T1044" s="6"/>
      <c r="U1044" s="28" t="str">
        <f>HYPERLINK("https://media.infra-m.ru/2072/2072462/cover/2072462.jpg", "Обложка")</f>
        <v>Обложка</v>
      </c>
      <c r="V1044" s="28" t="str">
        <f>HYPERLINK("https://znanium.com/catalog/product/1938059", "Ознакомиться")</f>
        <v>Ознакомиться</v>
      </c>
      <c r="W1044" s="8" t="s">
        <v>5756</v>
      </c>
      <c r="X1044" s="6"/>
      <c r="Y1044" s="6"/>
      <c r="Z1044" s="6"/>
      <c r="AA1044" s="6" t="s">
        <v>408</v>
      </c>
    </row>
    <row r="1045" spans="1:27" s="4" customFormat="1" ht="42" customHeight="1">
      <c r="A1045" s="5">
        <v>0</v>
      </c>
      <c r="B1045" s="6" t="s">
        <v>5757</v>
      </c>
      <c r="C1045" s="13">
        <v>1034</v>
      </c>
      <c r="D1045" s="8" t="s">
        <v>5758</v>
      </c>
      <c r="E1045" s="8" t="s">
        <v>5759</v>
      </c>
      <c r="F1045" s="8" t="s">
        <v>5760</v>
      </c>
      <c r="G1045" s="6" t="s">
        <v>58</v>
      </c>
      <c r="H1045" s="6" t="s">
        <v>427</v>
      </c>
      <c r="I1045" s="8"/>
      <c r="J1045" s="9">
        <v>1</v>
      </c>
      <c r="K1045" s="9">
        <v>224</v>
      </c>
      <c r="L1045" s="9">
        <v>2024</v>
      </c>
      <c r="M1045" s="8" t="s">
        <v>5761</v>
      </c>
      <c r="N1045" s="8" t="s">
        <v>40</v>
      </c>
      <c r="O1045" s="8" t="s">
        <v>41</v>
      </c>
      <c r="P1045" s="6" t="s">
        <v>75</v>
      </c>
      <c r="Q1045" s="8" t="s">
        <v>76</v>
      </c>
      <c r="R1045" s="10" t="s">
        <v>304</v>
      </c>
      <c r="S1045" s="11"/>
      <c r="T1045" s="6"/>
      <c r="U1045" s="28" t="str">
        <f>HYPERLINK("https://media.infra-m.ru/2092/2092496/cover/2092496.jpg", "Обложка")</f>
        <v>Обложка</v>
      </c>
      <c r="V1045" s="28" t="str">
        <f>HYPERLINK("https://znanium.com/catalog/product/353362", "Ознакомиться")</f>
        <v>Ознакомиться</v>
      </c>
      <c r="W1045" s="8" t="s">
        <v>503</v>
      </c>
      <c r="X1045" s="6"/>
      <c r="Y1045" s="6"/>
      <c r="Z1045" s="6"/>
      <c r="AA1045" s="6" t="s">
        <v>289</v>
      </c>
    </row>
    <row r="1046" spans="1:27" s="4" customFormat="1" ht="42" customHeight="1">
      <c r="A1046" s="5">
        <v>0</v>
      </c>
      <c r="B1046" s="6" t="s">
        <v>5762</v>
      </c>
      <c r="C1046" s="13">
        <v>1640</v>
      </c>
      <c r="D1046" s="8" t="s">
        <v>5763</v>
      </c>
      <c r="E1046" s="8" t="s">
        <v>5764</v>
      </c>
      <c r="F1046" s="8" t="s">
        <v>5765</v>
      </c>
      <c r="G1046" s="6" t="s">
        <v>37</v>
      </c>
      <c r="H1046" s="6" t="s">
        <v>84</v>
      </c>
      <c r="I1046" s="8" t="s">
        <v>85</v>
      </c>
      <c r="J1046" s="9">
        <v>1</v>
      </c>
      <c r="K1046" s="9">
        <v>432</v>
      </c>
      <c r="L1046" s="9">
        <v>2021</v>
      </c>
      <c r="M1046" s="8" t="s">
        <v>5766</v>
      </c>
      <c r="N1046" s="8" t="s">
        <v>40</v>
      </c>
      <c r="O1046" s="8" t="s">
        <v>41</v>
      </c>
      <c r="P1046" s="6" t="s">
        <v>42</v>
      </c>
      <c r="Q1046" s="8" t="s">
        <v>43</v>
      </c>
      <c r="R1046" s="10" t="s">
        <v>5767</v>
      </c>
      <c r="S1046" s="11"/>
      <c r="T1046" s="6"/>
      <c r="U1046" s="28" t="str">
        <f>HYPERLINK("https://media.infra-m.ru/1668/1668630/cover/1668630.jpg", "Обложка")</f>
        <v>Обложка</v>
      </c>
      <c r="V1046" s="28" t="str">
        <f>HYPERLINK("https://znanium.com/catalog/product/1160970", "Ознакомиться")</f>
        <v>Ознакомиться</v>
      </c>
      <c r="W1046" s="8" t="s">
        <v>45</v>
      </c>
      <c r="X1046" s="6"/>
      <c r="Y1046" s="6"/>
      <c r="Z1046" s="6"/>
      <c r="AA1046" s="6" t="s">
        <v>115</v>
      </c>
    </row>
    <row r="1047" spans="1:27" s="4" customFormat="1" ht="42" customHeight="1">
      <c r="A1047" s="5">
        <v>0</v>
      </c>
      <c r="B1047" s="6" t="s">
        <v>5768</v>
      </c>
      <c r="C1047" s="7">
        <v>854</v>
      </c>
      <c r="D1047" s="8" t="s">
        <v>5769</v>
      </c>
      <c r="E1047" s="8" t="s">
        <v>5770</v>
      </c>
      <c r="F1047" s="8" t="s">
        <v>5771</v>
      </c>
      <c r="G1047" s="6" t="s">
        <v>58</v>
      </c>
      <c r="H1047" s="6" t="s">
        <v>38</v>
      </c>
      <c r="I1047" s="8"/>
      <c r="J1047" s="9">
        <v>1</v>
      </c>
      <c r="K1047" s="9">
        <v>184</v>
      </c>
      <c r="L1047" s="9">
        <v>2023</v>
      </c>
      <c r="M1047" s="8" t="s">
        <v>5772</v>
      </c>
      <c r="N1047" s="8" t="s">
        <v>40</v>
      </c>
      <c r="O1047" s="8" t="s">
        <v>41</v>
      </c>
      <c r="P1047" s="6" t="s">
        <v>75</v>
      </c>
      <c r="Q1047" s="8" t="s">
        <v>76</v>
      </c>
      <c r="R1047" s="10" t="s">
        <v>304</v>
      </c>
      <c r="S1047" s="11"/>
      <c r="T1047" s="6"/>
      <c r="U1047" s="28" t="str">
        <f>HYPERLINK("https://media.infra-m.ru/2045/2045928/cover/2045928.jpg", "Обложка")</f>
        <v>Обложка</v>
      </c>
      <c r="V1047" s="28" t="str">
        <f>HYPERLINK("https://znanium.com/catalog/product/1303022", "Ознакомиться")</f>
        <v>Ознакомиться</v>
      </c>
      <c r="W1047" s="8" t="s">
        <v>114</v>
      </c>
      <c r="X1047" s="6"/>
      <c r="Y1047" s="6"/>
      <c r="Z1047" s="6"/>
      <c r="AA1047" s="6" t="s">
        <v>62</v>
      </c>
    </row>
    <row r="1048" spans="1:27" s="4" customFormat="1" ht="51.95" customHeight="1">
      <c r="A1048" s="5">
        <v>0</v>
      </c>
      <c r="B1048" s="6" t="s">
        <v>5773</v>
      </c>
      <c r="C1048" s="7">
        <v>624.9</v>
      </c>
      <c r="D1048" s="8" t="s">
        <v>5774</v>
      </c>
      <c r="E1048" s="8" t="s">
        <v>5775</v>
      </c>
      <c r="F1048" s="8" t="s">
        <v>3218</v>
      </c>
      <c r="G1048" s="6" t="s">
        <v>51</v>
      </c>
      <c r="H1048" s="6" t="s">
        <v>52</v>
      </c>
      <c r="I1048" s="8" t="s">
        <v>120</v>
      </c>
      <c r="J1048" s="9">
        <v>1</v>
      </c>
      <c r="K1048" s="9">
        <v>148</v>
      </c>
      <c r="L1048" s="9">
        <v>2022</v>
      </c>
      <c r="M1048" s="8" t="s">
        <v>5776</v>
      </c>
      <c r="N1048" s="8" t="s">
        <v>40</v>
      </c>
      <c r="O1048" s="8" t="s">
        <v>41</v>
      </c>
      <c r="P1048" s="6" t="s">
        <v>75</v>
      </c>
      <c r="Q1048" s="8" t="s">
        <v>1199</v>
      </c>
      <c r="R1048" s="10" t="s">
        <v>452</v>
      </c>
      <c r="S1048" s="11"/>
      <c r="T1048" s="6"/>
      <c r="U1048" s="28" t="str">
        <f>HYPERLINK("https://media.infra-m.ru/1850/1850716/cover/1850716.jpg", "Обложка")</f>
        <v>Обложка</v>
      </c>
      <c r="V1048" s="12"/>
      <c r="W1048" s="8" t="s">
        <v>3220</v>
      </c>
      <c r="X1048" s="6"/>
      <c r="Y1048" s="6"/>
      <c r="Z1048" s="6"/>
      <c r="AA1048" s="6" t="s">
        <v>115</v>
      </c>
    </row>
    <row r="1049" spans="1:27" s="4" customFormat="1" ht="42" customHeight="1">
      <c r="A1049" s="5">
        <v>0</v>
      </c>
      <c r="B1049" s="6" t="s">
        <v>5777</v>
      </c>
      <c r="C1049" s="7">
        <v>540</v>
      </c>
      <c r="D1049" s="8" t="s">
        <v>5778</v>
      </c>
      <c r="E1049" s="8" t="s">
        <v>5779</v>
      </c>
      <c r="F1049" s="8" t="s">
        <v>2332</v>
      </c>
      <c r="G1049" s="6" t="s">
        <v>51</v>
      </c>
      <c r="H1049" s="6" t="s">
        <v>84</v>
      </c>
      <c r="I1049" s="8" t="s">
        <v>85</v>
      </c>
      <c r="J1049" s="9">
        <v>1</v>
      </c>
      <c r="K1049" s="9">
        <v>157</v>
      </c>
      <c r="L1049" s="9">
        <v>2019</v>
      </c>
      <c r="M1049" s="8" t="s">
        <v>5780</v>
      </c>
      <c r="N1049" s="8" t="s">
        <v>40</v>
      </c>
      <c r="O1049" s="8" t="s">
        <v>41</v>
      </c>
      <c r="P1049" s="6" t="s">
        <v>42</v>
      </c>
      <c r="Q1049" s="8" t="s">
        <v>43</v>
      </c>
      <c r="R1049" s="10" t="s">
        <v>310</v>
      </c>
      <c r="S1049" s="11"/>
      <c r="T1049" s="6"/>
      <c r="U1049" s="28" t="str">
        <f>HYPERLINK("https://media.infra-m.ru/1003/1003237/cover/1003237.jpg", "Обложка")</f>
        <v>Обложка</v>
      </c>
      <c r="V1049" s="28" t="str">
        <f>HYPERLINK("https://znanium.com/catalog/product/1003237", "Ознакомиться")</f>
        <v>Ознакомиться</v>
      </c>
      <c r="W1049" s="8" t="s">
        <v>535</v>
      </c>
      <c r="X1049" s="6"/>
      <c r="Y1049" s="6"/>
      <c r="Z1049" s="6"/>
      <c r="AA1049" s="6" t="s">
        <v>422</v>
      </c>
    </row>
    <row r="1050" spans="1:27" s="4" customFormat="1" ht="51.95" customHeight="1">
      <c r="A1050" s="5">
        <v>0</v>
      </c>
      <c r="B1050" s="6" t="s">
        <v>5781</v>
      </c>
      <c r="C1050" s="13">
        <v>1550</v>
      </c>
      <c r="D1050" s="8" t="s">
        <v>5782</v>
      </c>
      <c r="E1050" s="8" t="s">
        <v>5783</v>
      </c>
      <c r="F1050" s="8" t="s">
        <v>5784</v>
      </c>
      <c r="G1050" s="6" t="s">
        <v>58</v>
      </c>
      <c r="H1050" s="6" t="s">
        <v>84</v>
      </c>
      <c r="I1050" s="8" t="s">
        <v>120</v>
      </c>
      <c r="J1050" s="9">
        <v>1</v>
      </c>
      <c r="K1050" s="9">
        <v>322</v>
      </c>
      <c r="L1050" s="9">
        <v>2023</v>
      </c>
      <c r="M1050" s="8" t="s">
        <v>5785</v>
      </c>
      <c r="N1050" s="8" t="s">
        <v>40</v>
      </c>
      <c r="O1050" s="8" t="s">
        <v>41</v>
      </c>
      <c r="P1050" s="6" t="s">
        <v>75</v>
      </c>
      <c r="Q1050" s="8" t="s">
        <v>680</v>
      </c>
      <c r="R1050" s="10" t="s">
        <v>5786</v>
      </c>
      <c r="S1050" s="11"/>
      <c r="T1050" s="6"/>
      <c r="U1050" s="28" t="str">
        <f>HYPERLINK("https://media.infra-m.ru/1942/1942596/cover/1942596.jpg", "Обложка")</f>
        <v>Обложка</v>
      </c>
      <c r="V1050" s="28" t="str">
        <f>HYPERLINK("https://znanium.com/catalog/product/1942596", "Ознакомиться")</f>
        <v>Ознакомиться</v>
      </c>
      <c r="W1050" s="8" t="s">
        <v>3659</v>
      </c>
      <c r="X1050" s="6" t="s">
        <v>99</v>
      </c>
      <c r="Y1050" s="6"/>
      <c r="Z1050" s="6"/>
      <c r="AA1050" s="6" t="s">
        <v>1806</v>
      </c>
    </row>
    <row r="1051" spans="1:27" s="4" customFormat="1" ht="51.95" customHeight="1">
      <c r="A1051" s="5">
        <v>0</v>
      </c>
      <c r="B1051" s="6" t="s">
        <v>5787</v>
      </c>
      <c r="C1051" s="7">
        <v>990</v>
      </c>
      <c r="D1051" s="8" t="s">
        <v>5788</v>
      </c>
      <c r="E1051" s="8" t="s">
        <v>5789</v>
      </c>
      <c r="F1051" s="8" t="s">
        <v>5790</v>
      </c>
      <c r="G1051" s="6" t="s">
        <v>58</v>
      </c>
      <c r="H1051" s="6" t="s">
        <v>84</v>
      </c>
      <c r="I1051" s="8" t="s">
        <v>316</v>
      </c>
      <c r="J1051" s="9">
        <v>1</v>
      </c>
      <c r="K1051" s="9">
        <v>210</v>
      </c>
      <c r="L1051" s="9">
        <v>2023</v>
      </c>
      <c r="M1051" s="8" t="s">
        <v>5791</v>
      </c>
      <c r="N1051" s="8" t="s">
        <v>40</v>
      </c>
      <c r="O1051" s="8" t="s">
        <v>41</v>
      </c>
      <c r="P1051" s="6" t="s">
        <v>75</v>
      </c>
      <c r="Q1051" s="8" t="s">
        <v>157</v>
      </c>
      <c r="R1051" s="10" t="s">
        <v>340</v>
      </c>
      <c r="S1051" s="11" t="s">
        <v>5792</v>
      </c>
      <c r="T1051" s="6"/>
      <c r="U1051" s="28" t="str">
        <f>HYPERLINK("https://media.infra-m.ru/1870/1870172/cover/1870172.jpg", "Обложка")</f>
        <v>Обложка</v>
      </c>
      <c r="V1051" s="28" t="str">
        <f>HYPERLINK("https://znanium.com/catalog/product/1870172", "Ознакомиться")</f>
        <v>Ознакомиться</v>
      </c>
      <c r="W1051" s="8" t="s">
        <v>1356</v>
      </c>
      <c r="X1051" s="6" t="s">
        <v>466</v>
      </c>
      <c r="Y1051" s="6"/>
      <c r="Z1051" s="6"/>
      <c r="AA1051" s="6" t="s">
        <v>408</v>
      </c>
    </row>
    <row r="1052" spans="1:27" s="4" customFormat="1" ht="51.95" customHeight="1">
      <c r="A1052" s="5">
        <v>0</v>
      </c>
      <c r="B1052" s="6" t="s">
        <v>5793</v>
      </c>
      <c r="C1052" s="7">
        <v>790</v>
      </c>
      <c r="D1052" s="8" t="s">
        <v>5794</v>
      </c>
      <c r="E1052" s="8" t="s">
        <v>5795</v>
      </c>
      <c r="F1052" s="8" t="s">
        <v>5796</v>
      </c>
      <c r="G1052" s="6" t="s">
        <v>51</v>
      </c>
      <c r="H1052" s="6" t="s">
        <v>84</v>
      </c>
      <c r="I1052" s="8" t="s">
        <v>85</v>
      </c>
      <c r="J1052" s="9">
        <v>1</v>
      </c>
      <c r="K1052" s="9">
        <v>176</v>
      </c>
      <c r="L1052" s="9">
        <v>2023</v>
      </c>
      <c r="M1052" s="8" t="s">
        <v>5797</v>
      </c>
      <c r="N1052" s="8" t="s">
        <v>40</v>
      </c>
      <c r="O1052" s="8" t="s">
        <v>41</v>
      </c>
      <c r="P1052" s="6" t="s">
        <v>295</v>
      </c>
      <c r="Q1052" s="8" t="s">
        <v>43</v>
      </c>
      <c r="R1052" s="10" t="s">
        <v>2295</v>
      </c>
      <c r="S1052" s="11"/>
      <c r="T1052" s="6"/>
      <c r="U1052" s="28" t="str">
        <f>HYPERLINK("https://media.infra-m.ru/1897/1897017/cover/1897017.jpg", "Обложка")</f>
        <v>Обложка</v>
      </c>
      <c r="V1052" s="28" t="str">
        <f>HYPERLINK("https://znanium.com/catalog/product/1897017", "Ознакомиться")</f>
        <v>Ознакомиться</v>
      </c>
      <c r="W1052" s="8"/>
      <c r="X1052" s="6"/>
      <c r="Y1052" s="6"/>
      <c r="Z1052" s="6"/>
      <c r="AA1052" s="6" t="s">
        <v>62</v>
      </c>
    </row>
    <row r="1053" spans="1:27" s="4" customFormat="1" ht="44.1" customHeight="1">
      <c r="A1053" s="5">
        <v>0</v>
      </c>
      <c r="B1053" s="6" t="s">
        <v>5798</v>
      </c>
      <c r="C1053" s="13">
        <v>1369.9</v>
      </c>
      <c r="D1053" s="8" t="s">
        <v>5799</v>
      </c>
      <c r="E1053" s="8" t="s">
        <v>5800</v>
      </c>
      <c r="F1053" s="8" t="s">
        <v>5801</v>
      </c>
      <c r="G1053" s="6" t="s">
        <v>58</v>
      </c>
      <c r="H1053" s="6" t="s">
        <v>38</v>
      </c>
      <c r="I1053" s="8"/>
      <c r="J1053" s="9">
        <v>1</v>
      </c>
      <c r="K1053" s="9">
        <v>360</v>
      </c>
      <c r="L1053" s="9">
        <v>2022</v>
      </c>
      <c r="M1053" s="8" t="s">
        <v>5802</v>
      </c>
      <c r="N1053" s="8" t="s">
        <v>40</v>
      </c>
      <c r="O1053" s="8" t="s">
        <v>41</v>
      </c>
      <c r="P1053" s="6" t="s">
        <v>75</v>
      </c>
      <c r="Q1053" s="8" t="s">
        <v>76</v>
      </c>
      <c r="R1053" s="10" t="s">
        <v>5803</v>
      </c>
      <c r="S1053" s="11"/>
      <c r="T1053" s="6"/>
      <c r="U1053" s="28" t="str">
        <f>HYPERLINK("https://media.infra-m.ru/1698/1698654/cover/1698654.jpg", "Обложка")</f>
        <v>Обложка</v>
      </c>
      <c r="V1053" s="28" t="str">
        <f>HYPERLINK("https://znanium.com/catalog/product/1698654", "Ознакомиться")</f>
        <v>Ознакомиться</v>
      </c>
      <c r="W1053" s="8" t="s">
        <v>114</v>
      </c>
      <c r="X1053" s="6"/>
      <c r="Y1053" s="6"/>
      <c r="Z1053" s="6"/>
      <c r="AA1053" s="6" t="s">
        <v>343</v>
      </c>
    </row>
    <row r="1054" spans="1:27" s="4" customFormat="1" ht="51.95" customHeight="1">
      <c r="A1054" s="5">
        <v>0</v>
      </c>
      <c r="B1054" s="6" t="s">
        <v>5804</v>
      </c>
      <c r="C1054" s="13">
        <v>1200</v>
      </c>
      <c r="D1054" s="8" t="s">
        <v>5805</v>
      </c>
      <c r="E1054" s="8" t="s">
        <v>5806</v>
      </c>
      <c r="F1054" s="8" t="s">
        <v>5807</v>
      </c>
      <c r="G1054" s="6" t="s">
        <v>37</v>
      </c>
      <c r="H1054" s="6" t="s">
        <v>84</v>
      </c>
      <c r="I1054" s="8" t="s">
        <v>1214</v>
      </c>
      <c r="J1054" s="9">
        <v>1</v>
      </c>
      <c r="K1054" s="9">
        <v>267</v>
      </c>
      <c r="L1054" s="9">
        <v>2023</v>
      </c>
      <c r="M1054" s="8" t="s">
        <v>5808</v>
      </c>
      <c r="N1054" s="8" t="s">
        <v>40</v>
      </c>
      <c r="O1054" s="8" t="s">
        <v>41</v>
      </c>
      <c r="P1054" s="6" t="s">
        <v>75</v>
      </c>
      <c r="Q1054" s="8" t="s">
        <v>680</v>
      </c>
      <c r="R1054" s="10" t="s">
        <v>5809</v>
      </c>
      <c r="S1054" s="11"/>
      <c r="T1054" s="6"/>
      <c r="U1054" s="28" t="str">
        <f>HYPERLINK("https://media.infra-m.ru/2038/2038211/cover/2038211.jpg", "Обложка")</f>
        <v>Обложка</v>
      </c>
      <c r="V1054" s="28" t="str">
        <f>HYPERLINK("https://znanium.com/catalog/product/1927348", "Ознакомиться")</f>
        <v>Ознакомиться</v>
      </c>
      <c r="W1054" s="8" t="s">
        <v>334</v>
      </c>
      <c r="X1054" s="6"/>
      <c r="Y1054" s="6"/>
      <c r="Z1054" s="6"/>
      <c r="AA1054" s="6" t="s">
        <v>408</v>
      </c>
    </row>
    <row r="1055" spans="1:27" s="4" customFormat="1" ht="51.95" customHeight="1">
      <c r="A1055" s="5">
        <v>0</v>
      </c>
      <c r="B1055" s="6" t="s">
        <v>5810</v>
      </c>
      <c r="C1055" s="13">
        <v>1070</v>
      </c>
      <c r="D1055" s="8" t="s">
        <v>5811</v>
      </c>
      <c r="E1055" s="8" t="s">
        <v>5812</v>
      </c>
      <c r="F1055" s="8" t="s">
        <v>5813</v>
      </c>
      <c r="G1055" s="6" t="s">
        <v>51</v>
      </c>
      <c r="H1055" s="6" t="s">
        <v>84</v>
      </c>
      <c r="I1055" s="8" t="s">
        <v>251</v>
      </c>
      <c r="J1055" s="9">
        <v>1</v>
      </c>
      <c r="K1055" s="9">
        <v>238</v>
      </c>
      <c r="L1055" s="9">
        <v>2023</v>
      </c>
      <c r="M1055" s="8" t="s">
        <v>5814</v>
      </c>
      <c r="N1055" s="8" t="s">
        <v>40</v>
      </c>
      <c r="O1055" s="8" t="s">
        <v>41</v>
      </c>
      <c r="P1055" s="6" t="s">
        <v>42</v>
      </c>
      <c r="Q1055" s="8" t="s">
        <v>43</v>
      </c>
      <c r="R1055" s="10" t="s">
        <v>5815</v>
      </c>
      <c r="S1055" s="11"/>
      <c r="T1055" s="6"/>
      <c r="U1055" s="28" t="str">
        <f>HYPERLINK("https://media.infra-m.ru/1911/1911534/cover/1911534.jpg", "Обложка")</f>
        <v>Обложка</v>
      </c>
      <c r="V1055" s="28" t="str">
        <f>HYPERLINK("https://znanium.com/catalog/product/1911534", "Ознакомиться")</f>
        <v>Ознакомиться</v>
      </c>
      <c r="W1055" s="8" t="s">
        <v>692</v>
      </c>
      <c r="X1055" s="6" t="s">
        <v>645</v>
      </c>
      <c r="Y1055" s="6"/>
      <c r="Z1055" s="6"/>
      <c r="AA1055" s="6" t="s">
        <v>408</v>
      </c>
    </row>
    <row r="1056" spans="1:27" s="4" customFormat="1" ht="44.1" customHeight="1">
      <c r="A1056" s="5">
        <v>0</v>
      </c>
      <c r="B1056" s="6" t="s">
        <v>5816</v>
      </c>
      <c r="C1056" s="13">
        <v>1130</v>
      </c>
      <c r="D1056" s="8" t="s">
        <v>5817</v>
      </c>
      <c r="E1056" s="8" t="s">
        <v>5818</v>
      </c>
      <c r="F1056" s="8" t="s">
        <v>5765</v>
      </c>
      <c r="G1056" s="6" t="s">
        <v>37</v>
      </c>
      <c r="H1056" s="6" t="s">
        <v>84</v>
      </c>
      <c r="I1056" s="8" t="s">
        <v>85</v>
      </c>
      <c r="J1056" s="9">
        <v>1</v>
      </c>
      <c r="K1056" s="9">
        <v>320</v>
      </c>
      <c r="L1056" s="9">
        <v>2020</v>
      </c>
      <c r="M1056" s="8" t="s">
        <v>5819</v>
      </c>
      <c r="N1056" s="8" t="s">
        <v>40</v>
      </c>
      <c r="O1056" s="8" t="s">
        <v>41</v>
      </c>
      <c r="P1056" s="6" t="s">
        <v>42</v>
      </c>
      <c r="Q1056" s="8" t="s">
        <v>296</v>
      </c>
      <c r="R1056" s="10" t="s">
        <v>699</v>
      </c>
      <c r="S1056" s="11"/>
      <c r="T1056" s="6"/>
      <c r="U1056" s="28" t="str">
        <f>HYPERLINK("https://media.infra-m.ru/1068/1068913/cover/1068913.jpg", "Обложка")</f>
        <v>Обложка</v>
      </c>
      <c r="V1056" s="28" t="str">
        <f>HYPERLINK("https://znanium.com/catalog/product/1068913", "Ознакомиться")</f>
        <v>Ознакомиться</v>
      </c>
      <c r="W1056" s="8" t="s">
        <v>45</v>
      </c>
      <c r="X1056" s="6"/>
      <c r="Y1056" s="6"/>
      <c r="Z1056" s="6"/>
      <c r="AA1056" s="6" t="s">
        <v>298</v>
      </c>
    </row>
    <row r="1057" spans="1:27" s="4" customFormat="1" ht="51.95" customHeight="1">
      <c r="A1057" s="5">
        <v>0</v>
      </c>
      <c r="B1057" s="6" t="s">
        <v>5820</v>
      </c>
      <c r="C1057" s="7">
        <v>814.9</v>
      </c>
      <c r="D1057" s="8" t="s">
        <v>5821</v>
      </c>
      <c r="E1057" s="8" t="s">
        <v>5822</v>
      </c>
      <c r="F1057" s="8" t="s">
        <v>5823</v>
      </c>
      <c r="G1057" s="6" t="s">
        <v>58</v>
      </c>
      <c r="H1057" s="6" t="s">
        <v>38</v>
      </c>
      <c r="I1057" s="8"/>
      <c r="J1057" s="9">
        <v>1</v>
      </c>
      <c r="K1057" s="9">
        <v>240</v>
      </c>
      <c r="L1057" s="9">
        <v>2020</v>
      </c>
      <c r="M1057" s="8" t="s">
        <v>5824</v>
      </c>
      <c r="N1057" s="8" t="s">
        <v>40</v>
      </c>
      <c r="O1057" s="8" t="s">
        <v>41</v>
      </c>
      <c r="P1057" s="6" t="s">
        <v>75</v>
      </c>
      <c r="Q1057" s="8" t="s">
        <v>157</v>
      </c>
      <c r="R1057" s="10" t="s">
        <v>5825</v>
      </c>
      <c r="S1057" s="11"/>
      <c r="T1057" s="6"/>
      <c r="U1057" s="28" t="str">
        <f>HYPERLINK("https://media.infra-m.ru/1045/1045750/cover/1045750.jpg", "Обложка")</f>
        <v>Обложка</v>
      </c>
      <c r="V1057" s="28" t="str">
        <f>HYPERLINK("https://znanium.com/catalog/product/915914", "Ознакомиться")</f>
        <v>Ознакомиться</v>
      </c>
      <c r="W1057" s="8" t="s">
        <v>114</v>
      </c>
      <c r="X1057" s="6"/>
      <c r="Y1057" s="6"/>
      <c r="Z1057" s="6"/>
      <c r="AA1057" s="6" t="s">
        <v>46</v>
      </c>
    </row>
    <row r="1058" spans="1:27" s="4" customFormat="1" ht="42" customHeight="1">
      <c r="A1058" s="5">
        <v>0</v>
      </c>
      <c r="B1058" s="6" t="s">
        <v>5826</v>
      </c>
      <c r="C1058" s="7">
        <v>619.9</v>
      </c>
      <c r="D1058" s="8" t="s">
        <v>5827</v>
      </c>
      <c r="E1058" s="8" t="s">
        <v>5828</v>
      </c>
      <c r="F1058" s="8" t="s">
        <v>5829</v>
      </c>
      <c r="G1058" s="6" t="s">
        <v>37</v>
      </c>
      <c r="H1058" s="6" t="s">
        <v>84</v>
      </c>
      <c r="I1058" s="8" t="s">
        <v>251</v>
      </c>
      <c r="J1058" s="9">
        <v>1</v>
      </c>
      <c r="K1058" s="9">
        <v>182</v>
      </c>
      <c r="L1058" s="9">
        <v>2019</v>
      </c>
      <c r="M1058" s="8" t="s">
        <v>5830</v>
      </c>
      <c r="N1058" s="8" t="s">
        <v>40</v>
      </c>
      <c r="O1058" s="8" t="s">
        <v>41</v>
      </c>
      <c r="P1058" s="6" t="s">
        <v>42</v>
      </c>
      <c r="Q1058" s="8" t="s">
        <v>43</v>
      </c>
      <c r="R1058" s="10" t="s">
        <v>776</v>
      </c>
      <c r="S1058" s="11"/>
      <c r="T1058" s="6"/>
      <c r="U1058" s="28" t="str">
        <f>HYPERLINK("https://media.infra-m.ru/1002/1002473/cover/1002473.jpg", "Обложка")</f>
        <v>Обложка</v>
      </c>
      <c r="V1058" s="28" t="str">
        <f>HYPERLINK("https://znanium.com/catalog/product/1002473", "Ознакомиться")</f>
        <v>Ознакомиться</v>
      </c>
      <c r="W1058" s="8" t="s">
        <v>712</v>
      </c>
      <c r="X1058" s="6"/>
      <c r="Y1058" s="6"/>
      <c r="Z1058" s="6"/>
      <c r="AA1058" s="6" t="s">
        <v>88</v>
      </c>
    </row>
    <row r="1059" spans="1:27" s="4" customFormat="1" ht="51.95" customHeight="1">
      <c r="A1059" s="5">
        <v>0</v>
      </c>
      <c r="B1059" s="6" t="s">
        <v>5831</v>
      </c>
      <c r="C1059" s="7">
        <v>830</v>
      </c>
      <c r="D1059" s="8" t="s">
        <v>5832</v>
      </c>
      <c r="E1059" s="8" t="s">
        <v>5833</v>
      </c>
      <c r="F1059" s="8" t="s">
        <v>5834</v>
      </c>
      <c r="G1059" s="6" t="s">
        <v>51</v>
      </c>
      <c r="H1059" s="6" t="s">
        <v>84</v>
      </c>
      <c r="I1059" s="8" t="s">
        <v>251</v>
      </c>
      <c r="J1059" s="9">
        <v>1</v>
      </c>
      <c r="K1059" s="9">
        <v>217</v>
      </c>
      <c r="L1059" s="9">
        <v>2021</v>
      </c>
      <c r="M1059" s="8" t="s">
        <v>5835</v>
      </c>
      <c r="N1059" s="8" t="s">
        <v>40</v>
      </c>
      <c r="O1059" s="8" t="s">
        <v>41</v>
      </c>
      <c r="P1059" s="6" t="s">
        <v>42</v>
      </c>
      <c r="Q1059" s="8" t="s">
        <v>43</v>
      </c>
      <c r="R1059" s="10" t="s">
        <v>5836</v>
      </c>
      <c r="S1059" s="11"/>
      <c r="T1059" s="6"/>
      <c r="U1059" s="28" t="str">
        <f>HYPERLINK("https://media.infra-m.ru/1079/1079434/cover/1079434.jpg", "Обложка")</f>
        <v>Обложка</v>
      </c>
      <c r="V1059" s="28" t="str">
        <f>HYPERLINK("https://znanium.com/catalog/product/1079434", "Ознакомиться")</f>
        <v>Ознакомиться</v>
      </c>
      <c r="W1059" s="8" t="s">
        <v>1285</v>
      </c>
      <c r="X1059" s="6"/>
      <c r="Y1059" s="6"/>
      <c r="Z1059" s="6"/>
      <c r="AA1059" s="6" t="s">
        <v>62</v>
      </c>
    </row>
    <row r="1060" spans="1:27" s="4" customFormat="1" ht="42" customHeight="1">
      <c r="A1060" s="5">
        <v>0</v>
      </c>
      <c r="B1060" s="6" t="s">
        <v>5837</v>
      </c>
      <c r="C1060" s="7">
        <v>810</v>
      </c>
      <c r="D1060" s="8" t="s">
        <v>5838</v>
      </c>
      <c r="E1060" s="8" t="s">
        <v>5839</v>
      </c>
      <c r="F1060" s="8" t="s">
        <v>5840</v>
      </c>
      <c r="G1060" s="6" t="s">
        <v>51</v>
      </c>
      <c r="H1060" s="6" t="s">
        <v>84</v>
      </c>
      <c r="I1060" s="8" t="s">
        <v>251</v>
      </c>
      <c r="J1060" s="9">
        <v>1</v>
      </c>
      <c r="K1060" s="9">
        <v>231</v>
      </c>
      <c r="L1060" s="9">
        <v>2020</v>
      </c>
      <c r="M1060" s="8" t="s">
        <v>5841</v>
      </c>
      <c r="N1060" s="8" t="s">
        <v>40</v>
      </c>
      <c r="O1060" s="8" t="s">
        <v>41</v>
      </c>
      <c r="P1060" s="6" t="s">
        <v>42</v>
      </c>
      <c r="Q1060" s="8" t="s">
        <v>43</v>
      </c>
      <c r="R1060" s="10" t="s">
        <v>310</v>
      </c>
      <c r="S1060" s="11"/>
      <c r="T1060" s="6"/>
      <c r="U1060" s="28" t="str">
        <f>HYPERLINK("https://media.infra-m.ru/1065/1065190/cover/1065190.jpg", "Обложка")</f>
        <v>Обложка</v>
      </c>
      <c r="V1060" s="28" t="str">
        <f>HYPERLINK("https://znanium.com/catalog/product/1065190", "Ознакомиться")</f>
        <v>Ознакомиться</v>
      </c>
      <c r="W1060" s="8" t="s">
        <v>5842</v>
      </c>
      <c r="X1060" s="6"/>
      <c r="Y1060" s="6"/>
      <c r="Z1060" s="6"/>
      <c r="AA1060" s="6" t="s">
        <v>422</v>
      </c>
    </row>
    <row r="1061" spans="1:27" s="4" customFormat="1" ht="42" customHeight="1">
      <c r="A1061" s="5">
        <v>0</v>
      </c>
      <c r="B1061" s="6" t="s">
        <v>5843</v>
      </c>
      <c r="C1061" s="13">
        <v>1254.9000000000001</v>
      </c>
      <c r="D1061" s="8" t="s">
        <v>5844</v>
      </c>
      <c r="E1061" s="8" t="s">
        <v>5845</v>
      </c>
      <c r="F1061" s="8" t="s">
        <v>279</v>
      </c>
      <c r="G1061" s="6" t="s">
        <v>58</v>
      </c>
      <c r="H1061" s="6" t="s">
        <v>38</v>
      </c>
      <c r="I1061" s="8"/>
      <c r="J1061" s="9">
        <v>1</v>
      </c>
      <c r="K1061" s="9">
        <v>368</v>
      </c>
      <c r="L1061" s="9">
        <v>2019</v>
      </c>
      <c r="M1061" s="8" t="s">
        <v>5846</v>
      </c>
      <c r="N1061" s="8" t="s">
        <v>40</v>
      </c>
      <c r="O1061" s="8" t="s">
        <v>41</v>
      </c>
      <c r="P1061" s="6" t="s">
        <v>295</v>
      </c>
      <c r="Q1061" s="8" t="s">
        <v>43</v>
      </c>
      <c r="R1061" s="10" t="s">
        <v>5847</v>
      </c>
      <c r="S1061" s="11"/>
      <c r="T1061" s="6"/>
      <c r="U1061" s="28" t="str">
        <f>HYPERLINK("https://media.infra-m.ru/1027/1027006/cover/1027006.jpg", "Обложка")</f>
        <v>Обложка</v>
      </c>
      <c r="V1061" s="28" t="str">
        <f>HYPERLINK("https://znanium.com/catalog/product/1027006", "Ознакомиться")</f>
        <v>Ознакомиться</v>
      </c>
      <c r="W1061" s="8" t="s">
        <v>114</v>
      </c>
      <c r="X1061" s="6"/>
      <c r="Y1061" s="6"/>
      <c r="Z1061" s="6"/>
      <c r="AA1061" s="6" t="s">
        <v>298</v>
      </c>
    </row>
    <row r="1062" spans="1:27" s="4" customFormat="1" ht="51.95" customHeight="1">
      <c r="A1062" s="5">
        <v>0</v>
      </c>
      <c r="B1062" s="6" t="s">
        <v>5848</v>
      </c>
      <c r="C1062" s="7">
        <v>914</v>
      </c>
      <c r="D1062" s="8" t="s">
        <v>5849</v>
      </c>
      <c r="E1062" s="8" t="s">
        <v>5850</v>
      </c>
      <c r="F1062" s="8" t="s">
        <v>5851</v>
      </c>
      <c r="G1062" s="6" t="s">
        <v>51</v>
      </c>
      <c r="H1062" s="6" t="s">
        <v>84</v>
      </c>
      <c r="I1062" s="8" t="s">
        <v>85</v>
      </c>
      <c r="J1062" s="9">
        <v>1</v>
      </c>
      <c r="K1062" s="9">
        <v>203</v>
      </c>
      <c r="L1062" s="9">
        <v>2023</v>
      </c>
      <c r="M1062" s="8" t="s">
        <v>5852</v>
      </c>
      <c r="N1062" s="8" t="s">
        <v>40</v>
      </c>
      <c r="O1062" s="8" t="s">
        <v>41</v>
      </c>
      <c r="P1062" s="6" t="s">
        <v>68</v>
      </c>
      <c r="Q1062" s="8" t="s">
        <v>43</v>
      </c>
      <c r="R1062" s="10" t="s">
        <v>5853</v>
      </c>
      <c r="S1062" s="11"/>
      <c r="T1062" s="6"/>
      <c r="U1062" s="28" t="str">
        <f>HYPERLINK("https://media.infra-m.ru/1324/1324020/cover/1324020.jpg", "Обложка")</f>
        <v>Обложка</v>
      </c>
      <c r="V1062" s="28" t="str">
        <f>HYPERLINK("https://znanium.com/catalog/product/1228787", "Ознакомиться")</f>
        <v>Ознакомиться</v>
      </c>
      <c r="W1062" s="8" t="s">
        <v>45</v>
      </c>
      <c r="X1062" s="6"/>
      <c r="Y1062" s="6"/>
      <c r="Z1062" s="6"/>
      <c r="AA1062" s="6" t="s">
        <v>422</v>
      </c>
    </row>
    <row r="1063" spans="1:27" s="4" customFormat="1" ht="42" customHeight="1">
      <c r="A1063" s="5">
        <v>0</v>
      </c>
      <c r="B1063" s="6" t="s">
        <v>5854</v>
      </c>
      <c r="C1063" s="7">
        <v>900</v>
      </c>
      <c r="D1063" s="8" t="s">
        <v>5855</v>
      </c>
      <c r="E1063" s="8" t="s">
        <v>5856</v>
      </c>
      <c r="F1063" s="8" t="s">
        <v>5857</v>
      </c>
      <c r="G1063" s="6" t="s">
        <v>37</v>
      </c>
      <c r="H1063" s="6" t="s">
        <v>38</v>
      </c>
      <c r="I1063" s="8"/>
      <c r="J1063" s="9">
        <v>1</v>
      </c>
      <c r="K1063" s="9">
        <v>200</v>
      </c>
      <c r="L1063" s="9">
        <v>2023</v>
      </c>
      <c r="M1063" s="8" t="s">
        <v>5858</v>
      </c>
      <c r="N1063" s="8" t="s">
        <v>40</v>
      </c>
      <c r="O1063" s="8" t="s">
        <v>41</v>
      </c>
      <c r="P1063" s="6" t="s">
        <v>42</v>
      </c>
      <c r="Q1063" s="8" t="s">
        <v>43</v>
      </c>
      <c r="R1063" s="10" t="s">
        <v>69</v>
      </c>
      <c r="S1063" s="11"/>
      <c r="T1063" s="6"/>
      <c r="U1063" s="28" t="str">
        <f>HYPERLINK("https://media.infra-m.ru/2034/2034560/cover/2034560.jpg", "Обложка")</f>
        <v>Обложка</v>
      </c>
      <c r="V1063" s="28" t="str">
        <f>HYPERLINK("https://znanium.com/catalog/product/2034560", "Ознакомиться")</f>
        <v>Ознакомиться</v>
      </c>
      <c r="W1063" s="8" t="s">
        <v>45</v>
      </c>
      <c r="X1063" s="6"/>
      <c r="Y1063" s="6"/>
      <c r="Z1063" s="6"/>
      <c r="AA1063" s="6" t="s">
        <v>343</v>
      </c>
    </row>
    <row r="1064" spans="1:27" s="4" customFormat="1" ht="51.95" customHeight="1">
      <c r="A1064" s="5">
        <v>0</v>
      </c>
      <c r="B1064" s="6" t="s">
        <v>5859</v>
      </c>
      <c r="C1064" s="13">
        <v>1080</v>
      </c>
      <c r="D1064" s="8" t="s">
        <v>5860</v>
      </c>
      <c r="E1064" s="8" t="s">
        <v>5861</v>
      </c>
      <c r="F1064" s="8" t="s">
        <v>5862</v>
      </c>
      <c r="G1064" s="6" t="s">
        <v>37</v>
      </c>
      <c r="H1064" s="6" t="s">
        <v>38</v>
      </c>
      <c r="I1064" s="8"/>
      <c r="J1064" s="9">
        <v>1</v>
      </c>
      <c r="K1064" s="9">
        <v>240</v>
      </c>
      <c r="L1064" s="9">
        <v>2023</v>
      </c>
      <c r="M1064" s="8" t="s">
        <v>5863</v>
      </c>
      <c r="N1064" s="8" t="s">
        <v>40</v>
      </c>
      <c r="O1064" s="8" t="s">
        <v>41</v>
      </c>
      <c r="P1064" s="6" t="s">
        <v>42</v>
      </c>
      <c r="Q1064" s="8" t="s">
        <v>43</v>
      </c>
      <c r="R1064" s="10" t="s">
        <v>5864</v>
      </c>
      <c r="S1064" s="11"/>
      <c r="T1064" s="6"/>
      <c r="U1064" s="28" t="str">
        <f>HYPERLINK("https://media.infra-m.ru/2041/2041655/cover/2041655.jpg", "Обложка")</f>
        <v>Обложка</v>
      </c>
      <c r="V1064" s="28" t="str">
        <f>HYPERLINK("https://znanium.com/catalog/product/2041655", "Ознакомиться")</f>
        <v>Ознакомиться</v>
      </c>
      <c r="W1064" s="8" t="s">
        <v>114</v>
      </c>
      <c r="X1064" s="6"/>
      <c r="Y1064" s="6"/>
      <c r="Z1064" s="6"/>
      <c r="AA1064" s="6" t="s">
        <v>820</v>
      </c>
    </row>
    <row r="1065" spans="1:27" s="4" customFormat="1" ht="33" customHeight="1">
      <c r="A1065" s="5">
        <v>0</v>
      </c>
      <c r="B1065" s="6" t="s">
        <v>5865</v>
      </c>
      <c r="C1065" s="7">
        <v>188</v>
      </c>
      <c r="D1065" s="8" t="s">
        <v>5866</v>
      </c>
      <c r="E1065" s="8" t="s">
        <v>5867</v>
      </c>
      <c r="F1065" s="8"/>
      <c r="G1065" s="6" t="s">
        <v>51</v>
      </c>
      <c r="H1065" s="6" t="s">
        <v>52</v>
      </c>
      <c r="I1065" s="8" t="s">
        <v>226</v>
      </c>
      <c r="J1065" s="9">
        <v>1</v>
      </c>
      <c r="K1065" s="9">
        <v>64</v>
      </c>
      <c r="L1065" s="9">
        <v>2017</v>
      </c>
      <c r="M1065" s="8" t="s">
        <v>5868</v>
      </c>
      <c r="N1065" s="8" t="s">
        <v>40</v>
      </c>
      <c r="O1065" s="8" t="s">
        <v>41</v>
      </c>
      <c r="P1065" s="6" t="s">
        <v>228</v>
      </c>
      <c r="Q1065" s="8" t="s">
        <v>76</v>
      </c>
      <c r="R1065" s="10" t="s">
        <v>310</v>
      </c>
      <c r="S1065" s="11"/>
      <c r="T1065" s="6"/>
      <c r="U1065" s="12"/>
      <c r="V1065" s="12"/>
      <c r="W1065" s="8"/>
      <c r="X1065" s="6"/>
      <c r="Y1065" s="6"/>
      <c r="Z1065" s="6"/>
      <c r="AA1065" s="6" t="s">
        <v>2168</v>
      </c>
    </row>
    <row r="1066" spans="1:27" s="4" customFormat="1" ht="42" customHeight="1">
      <c r="A1066" s="5">
        <v>0</v>
      </c>
      <c r="B1066" s="6" t="s">
        <v>5869</v>
      </c>
      <c r="C1066" s="13">
        <v>1894.9</v>
      </c>
      <c r="D1066" s="8" t="s">
        <v>5870</v>
      </c>
      <c r="E1066" s="8" t="s">
        <v>5871</v>
      </c>
      <c r="F1066" s="8" t="s">
        <v>5872</v>
      </c>
      <c r="G1066" s="6" t="s">
        <v>58</v>
      </c>
      <c r="H1066" s="6" t="s">
        <v>400</v>
      </c>
      <c r="I1066" s="8" t="s">
        <v>2570</v>
      </c>
      <c r="J1066" s="9">
        <v>1</v>
      </c>
      <c r="K1066" s="9">
        <v>576</v>
      </c>
      <c r="L1066" s="9">
        <v>2022</v>
      </c>
      <c r="M1066" s="8" t="s">
        <v>5873</v>
      </c>
      <c r="N1066" s="8" t="s">
        <v>40</v>
      </c>
      <c r="O1066" s="8" t="s">
        <v>41</v>
      </c>
      <c r="P1066" s="6" t="s">
        <v>2566</v>
      </c>
      <c r="Q1066" s="8" t="s">
        <v>76</v>
      </c>
      <c r="R1066" s="10" t="s">
        <v>304</v>
      </c>
      <c r="S1066" s="11"/>
      <c r="T1066" s="6"/>
      <c r="U1066" s="28" t="str">
        <f>HYPERLINK("https://media.infra-m.ru/1871/1871949/cover/1871949.jpg", "Обложка")</f>
        <v>Обложка</v>
      </c>
      <c r="V1066" s="28" t="str">
        <f>HYPERLINK("https://znanium.com/catalog/product/933863", "Ознакомиться")</f>
        <v>Ознакомиться</v>
      </c>
      <c r="W1066" s="8" t="s">
        <v>3137</v>
      </c>
      <c r="X1066" s="6"/>
      <c r="Y1066" s="6"/>
      <c r="Z1066" s="6"/>
      <c r="AA1066" s="6" t="s">
        <v>719</v>
      </c>
    </row>
    <row r="1067" spans="1:27" s="4" customFormat="1" ht="51.95" customHeight="1">
      <c r="A1067" s="5">
        <v>0</v>
      </c>
      <c r="B1067" s="6" t="s">
        <v>5874</v>
      </c>
      <c r="C1067" s="13">
        <v>3200</v>
      </c>
      <c r="D1067" s="8" t="s">
        <v>5875</v>
      </c>
      <c r="E1067" s="8" t="s">
        <v>5876</v>
      </c>
      <c r="F1067" s="8" t="s">
        <v>5877</v>
      </c>
      <c r="G1067" s="6" t="s">
        <v>58</v>
      </c>
      <c r="H1067" s="6" t="s">
        <v>400</v>
      </c>
      <c r="I1067" s="8"/>
      <c r="J1067" s="9">
        <v>1</v>
      </c>
      <c r="K1067" s="9">
        <v>784</v>
      </c>
      <c r="L1067" s="9">
        <v>2023</v>
      </c>
      <c r="M1067" s="8" t="s">
        <v>5878</v>
      </c>
      <c r="N1067" s="8" t="s">
        <v>40</v>
      </c>
      <c r="O1067" s="8" t="s">
        <v>41</v>
      </c>
      <c r="P1067" s="6" t="s">
        <v>95</v>
      </c>
      <c r="Q1067" s="8" t="s">
        <v>76</v>
      </c>
      <c r="R1067" s="10" t="s">
        <v>122</v>
      </c>
      <c r="S1067" s="11" t="s">
        <v>5879</v>
      </c>
      <c r="T1067" s="6"/>
      <c r="U1067" s="28" t="str">
        <f>HYPERLINK("https://media.infra-m.ru/1904/1904636/cover/1904636.jpg", "Обложка")</f>
        <v>Обложка</v>
      </c>
      <c r="V1067" s="28" t="str">
        <f>HYPERLINK("https://znanium.com/catalog/product/1904636", "Ознакомиться")</f>
        <v>Ознакомиться</v>
      </c>
      <c r="W1067" s="8" t="s">
        <v>3137</v>
      </c>
      <c r="X1067" s="6"/>
      <c r="Y1067" s="6"/>
      <c r="Z1067" s="6"/>
      <c r="AA1067" s="6" t="s">
        <v>5880</v>
      </c>
    </row>
    <row r="1068" spans="1:27" s="4" customFormat="1" ht="51.95" customHeight="1">
      <c r="A1068" s="5">
        <v>0</v>
      </c>
      <c r="B1068" s="6" t="s">
        <v>5881</v>
      </c>
      <c r="C1068" s="13">
        <v>1070</v>
      </c>
      <c r="D1068" s="8" t="s">
        <v>5882</v>
      </c>
      <c r="E1068" s="8" t="s">
        <v>5883</v>
      </c>
      <c r="F1068" s="8" t="s">
        <v>1879</v>
      </c>
      <c r="G1068" s="6" t="s">
        <v>58</v>
      </c>
      <c r="H1068" s="6" t="s">
        <v>38</v>
      </c>
      <c r="I1068" s="8"/>
      <c r="J1068" s="9">
        <v>1</v>
      </c>
      <c r="K1068" s="9">
        <v>304</v>
      </c>
      <c r="L1068" s="9">
        <v>2020</v>
      </c>
      <c r="M1068" s="8" t="s">
        <v>5884</v>
      </c>
      <c r="N1068" s="8" t="s">
        <v>40</v>
      </c>
      <c r="O1068" s="8" t="s">
        <v>41</v>
      </c>
      <c r="P1068" s="6" t="s">
        <v>42</v>
      </c>
      <c r="Q1068" s="8" t="s">
        <v>43</v>
      </c>
      <c r="R1068" s="10" t="s">
        <v>5885</v>
      </c>
      <c r="S1068" s="11"/>
      <c r="T1068" s="6"/>
      <c r="U1068" s="28" t="str">
        <f>HYPERLINK("https://media.infra-m.ru/1079/1079226/cover/1079226.jpg", "Обложка")</f>
        <v>Обложка</v>
      </c>
      <c r="V1068" s="28" t="str">
        <f>HYPERLINK("https://znanium.com/catalog/product/1079226", "Ознакомиться")</f>
        <v>Ознакомиться</v>
      </c>
      <c r="W1068" s="8" t="s">
        <v>45</v>
      </c>
      <c r="X1068" s="6"/>
      <c r="Y1068" s="6"/>
      <c r="Z1068" s="6"/>
      <c r="AA1068" s="6" t="s">
        <v>46</v>
      </c>
    </row>
    <row r="1069" spans="1:27" s="4" customFormat="1" ht="51.95" customHeight="1">
      <c r="A1069" s="5">
        <v>0</v>
      </c>
      <c r="B1069" s="6" t="s">
        <v>5886</v>
      </c>
      <c r="C1069" s="13">
        <v>1150</v>
      </c>
      <c r="D1069" s="8" t="s">
        <v>5887</v>
      </c>
      <c r="E1069" s="8" t="s">
        <v>5888</v>
      </c>
      <c r="F1069" s="8" t="s">
        <v>876</v>
      </c>
      <c r="G1069" s="6" t="s">
        <v>58</v>
      </c>
      <c r="H1069" s="6" t="s">
        <v>84</v>
      </c>
      <c r="I1069" s="8" t="s">
        <v>251</v>
      </c>
      <c r="J1069" s="9">
        <v>1</v>
      </c>
      <c r="K1069" s="9">
        <v>302</v>
      </c>
      <c r="L1069" s="9">
        <v>2023</v>
      </c>
      <c r="M1069" s="8" t="s">
        <v>5889</v>
      </c>
      <c r="N1069" s="8" t="s">
        <v>40</v>
      </c>
      <c r="O1069" s="8" t="s">
        <v>41</v>
      </c>
      <c r="P1069" s="6" t="s">
        <v>42</v>
      </c>
      <c r="Q1069" s="8" t="s">
        <v>43</v>
      </c>
      <c r="R1069" s="10" t="s">
        <v>5890</v>
      </c>
      <c r="S1069" s="11"/>
      <c r="T1069" s="6"/>
      <c r="U1069" s="28" t="str">
        <f>HYPERLINK("https://media.infra-m.ru/1858/1858242/cover/1858242.jpg", "Обложка")</f>
        <v>Обложка</v>
      </c>
      <c r="V1069" s="28" t="str">
        <f>HYPERLINK("https://znanium.com/catalog/product/1014568", "Ознакомиться")</f>
        <v>Ознакомиться</v>
      </c>
      <c r="W1069" s="8" t="s">
        <v>503</v>
      </c>
      <c r="X1069" s="6"/>
      <c r="Y1069" s="6"/>
      <c r="Z1069" s="6"/>
      <c r="AA1069" s="6" t="s">
        <v>739</v>
      </c>
    </row>
    <row r="1070" spans="1:27" s="4" customFormat="1" ht="51.95" customHeight="1">
      <c r="A1070" s="5">
        <v>0</v>
      </c>
      <c r="B1070" s="6" t="s">
        <v>5891</v>
      </c>
      <c r="C1070" s="7">
        <v>894.9</v>
      </c>
      <c r="D1070" s="8" t="s">
        <v>5892</v>
      </c>
      <c r="E1070" s="8" t="s">
        <v>5893</v>
      </c>
      <c r="F1070" s="8" t="s">
        <v>876</v>
      </c>
      <c r="G1070" s="6" t="s">
        <v>58</v>
      </c>
      <c r="H1070" s="6" t="s">
        <v>84</v>
      </c>
      <c r="I1070" s="8" t="s">
        <v>251</v>
      </c>
      <c r="J1070" s="9">
        <v>1</v>
      </c>
      <c r="K1070" s="9">
        <v>287</v>
      </c>
      <c r="L1070" s="9">
        <v>2018</v>
      </c>
      <c r="M1070" s="8" t="s">
        <v>5894</v>
      </c>
      <c r="N1070" s="8" t="s">
        <v>40</v>
      </c>
      <c r="O1070" s="8" t="s">
        <v>41</v>
      </c>
      <c r="P1070" s="6" t="s">
        <v>42</v>
      </c>
      <c r="Q1070" s="8" t="s">
        <v>43</v>
      </c>
      <c r="R1070" s="10" t="s">
        <v>5890</v>
      </c>
      <c r="S1070" s="11"/>
      <c r="T1070" s="6"/>
      <c r="U1070" s="28" t="str">
        <f>HYPERLINK("https://media.infra-m.ru/0959/0959990/cover/959990.jpg", "Обложка")</f>
        <v>Обложка</v>
      </c>
      <c r="V1070" s="28" t="str">
        <f>HYPERLINK("https://znanium.com/catalog/product/1014568", "Ознакомиться")</f>
        <v>Ознакомиться</v>
      </c>
      <c r="W1070" s="8" t="s">
        <v>503</v>
      </c>
      <c r="X1070" s="6"/>
      <c r="Y1070" s="6"/>
      <c r="Z1070" s="6"/>
      <c r="AA1070" s="6" t="s">
        <v>88</v>
      </c>
    </row>
    <row r="1071" spans="1:27" s="4" customFormat="1" ht="42" customHeight="1">
      <c r="A1071" s="5">
        <v>0</v>
      </c>
      <c r="B1071" s="6" t="s">
        <v>5895</v>
      </c>
      <c r="C1071" s="13">
        <v>1994.9</v>
      </c>
      <c r="D1071" s="8" t="s">
        <v>5896</v>
      </c>
      <c r="E1071" s="8" t="s">
        <v>5897</v>
      </c>
      <c r="F1071" s="8" t="s">
        <v>5898</v>
      </c>
      <c r="G1071" s="6" t="s">
        <v>58</v>
      </c>
      <c r="H1071" s="6" t="s">
        <v>38</v>
      </c>
      <c r="I1071" s="8"/>
      <c r="J1071" s="9">
        <v>1</v>
      </c>
      <c r="K1071" s="9">
        <v>672</v>
      </c>
      <c r="L1071" s="9">
        <v>2021</v>
      </c>
      <c r="M1071" s="8" t="s">
        <v>5899</v>
      </c>
      <c r="N1071" s="8" t="s">
        <v>40</v>
      </c>
      <c r="O1071" s="8" t="s">
        <v>41</v>
      </c>
      <c r="P1071" s="6" t="s">
        <v>42</v>
      </c>
      <c r="Q1071" s="8" t="s">
        <v>43</v>
      </c>
      <c r="R1071" s="10" t="s">
        <v>304</v>
      </c>
      <c r="S1071" s="11"/>
      <c r="T1071" s="6"/>
      <c r="U1071" s="28" t="str">
        <f>HYPERLINK("https://media.infra-m.ru/1240/1240964/cover/1240964.jpg", "Обложка")</f>
        <v>Обложка</v>
      </c>
      <c r="V1071" s="28" t="str">
        <f>HYPERLINK("https://znanium.com/catalog/product/1240964", "Ознакомиться")</f>
        <v>Ознакомиться</v>
      </c>
      <c r="W1071" s="8" t="s">
        <v>114</v>
      </c>
      <c r="X1071" s="6"/>
      <c r="Y1071" s="6"/>
      <c r="Z1071" s="6"/>
      <c r="AA1071" s="6" t="s">
        <v>5568</v>
      </c>
    </row>
    <row r="1072" spans="1:27" s="4" customFormat="1" ht="44.1" customHeight="1">
      <c r="A1072" s="5">
        <v>0</v>
      </c>
      <c r="B1072" s="6" t="s">
        <v>5900</v>
      </c>
      <c r="C1072" s="13">
        <v>1220</v>
      </c>
      <c r="D1072" s="8" t="s">
        <v>5901</v>
      </c>
      <c r="E1072" s="8" t="s">
        <v>5902</v>
      </c>
      <c r="F1072" s="8" t="s">
        <v>5903</v>
      </c>
      <c r="G1072" s="6" t="s">
        <v>51</v>
      </c>
      <c r="H1072" s="6" t="s">
        <v>38</v>
      </c>
      <c r="I1072" s="8"/>
      <c r="J1072" s="9">
        <v>1</v>
      </c>
      <c r="K1072" s="9">
        <v>272</v>
      </c>
      <c r="L1072" s="9">
        <v>2023</v>
      </c>
      <c r="M1072" s="8" t="s">
        <v>5904</v>
      </c>
      <c r="N1072" s="8" t="s">
        <v>40</v>
      </c>
      <c r="O1072" s="8" t="s">
        <v>41</v>
      </c>
      <c r="P1072" s="6" t="s">
        <v>42</v>
      </c>
      <c r="Q1072" s="8" t="s">
        <v>296</v>
      </c>
      <c r="R1072" s="10" t="s">
        <v>5905</v>
      </c>
      <c r="S1072" s="11"/>
      <c r="T1072" s="6"/>
      <c r="U1072" s="28" t="str">
        <f>HYPERLINK("https://media.infra-m.ru/2018/2018255/cover/2018255.jpg", "Обложка")</f>
        <v>Обложка</v>
      </c>
      <c r="V1072" s="28" t="str">
        <f>HYPERLINK("https://znanium.com/catalog/product/2018255", "Ознакомиться")</f>
        <v>Ознакомиться</v>
      </c>
      <c r="W1072" s="8" t="s">
        <v>3890</v>
      </c>
      <c r="X1072" s="6"/>
      <c r="Y1072" s="6"/>
      <c r="Z1072" s="6"/>
      <c r="AA1072" s="6" t="s">
        <v>298</v>
      </c>
    </row>
    <row r="1073" spans="1:27" s="4" customFormat="1" ht="51.95" customHeight="1">
      <c r="A1073" s="5">
        <v>0</v>
      </c>
      <c r="B1073" s="6" t="s">
        <v>5906</v>
      </c>
      <c r="C1073" s="13">
        <v>1094</v>
      </c>
      <c r="D1073" s="8" t="s">
        <v>5907</v>
      </c>
      <c r="E1073" s="8" t="s">
        <v>5908</v>
      </c>
      <c r="F1073" s="8" t="s">
        <v>5909</v>
      </c>
      <c r="G1073" s="6" t="s">
        <v>58</v>
      </c>
      <c r="H1073" s="6" t="s">
        <v>84</v>
      </c>
      <c r="I1073" s="8" t="s">
        <v>5910</v>
      </c>
      <c r="J1073" s="9">
        <v>1</v>
      </c>
      <c r="K1073" s="9">
        <v>320</v>
      </c>
      <c r="L1073" s="9">
        <v>2019</v>
      </c>
      <c r="M1073" s="8" t="s">
        <v>5911</v>
      </c>
      <c r="N1073" s="8" t="s">
        <v>40</v>
      </c>
      <c r="O1073" s="8" t="s">
        <v>41</v>
      </c>
      <c r="P1073" s="6" t="s">
        <v>42</v>
      </c>
      <c r="Q1073" s="8" t="s">
        <v>43</v>
      </c>
      <c r="R1073" s="10" t="s">
        <v>1792</v>
      </c>
      <c r="S1073" s="11"/>
      <c r="T1073" s="6"/>
      <c r="U1073" s="28" t="str">
        <f>HYPERLINK("https://media.infra-m.ru/2081/2081965/cover/2081965.jpg", "Обложка")</f>
        <v>Обложка</v>
      </c>
      <c r="V1073" s="28" t="str">
        <f>HYPERLINK("https://znanium.com/catalog/product/1080543", "Ознакомиться")</f>
        <v>Ознакомиться</v>
      </c>
      <c r="W1073" s="8" t="s">
        <v>5912</v>
      </c>
      <c r="X1073" s="6"/>
      <c r="Y1073" s="6"/>
      <c r="Z1073" s="6"/>
      <c r="AA1073" s="6" t="s">
        <v>79</v>
      </c>
    </row>
    <row r="1074" spans="1:27" s="4" customFormat="1" ht="42" customHeight="1">
      <c r="A1074" s="5">
        <v>0</v>
      </c>
      <c r="B1074" s="6" t="s">
        <v>5913</v>
      </c>
      <c r="C1074" s="7">
        <v>950</v>
      </c>
      <c r="D1074" s="8" t="s">
        <v>5914</v>
      </c>
      <c r="E1074" s="8" t="s">
        <v>5915</v>
      </c>
      <c r="F1074" s="8" t="s">
        <v>5916</v>
      </c>
      <c r="G1074" s="6" t="s">
        <v>51</v>
      </c>
      <c r="H1074" s="6" t="s">
        <v>38</v>
      </c>
      <c r="I1074" s="8"/>
      <c r="J1074" s="9">
        <v>1</v>
      </c>
      <c r="K1074" s="9">
        <v>192</v>
      </c>
      <c r="L1074" s="9">
        <v>2023</v>
      </c>
      <c r="M1074" s="8" t="s">
        <v>5917</v>
      </c>
      <c r="N1074" s="8" t="s">
        <v>40</v>
      </c>
      <c r="O1074" s="8" t="s">
        <v>41</v>
      </c>
      <c r="P1074" s="6" t="s">
        <v>42</v>
      </c>
      <c r="Q1074" s="8" t="s">
        <v>43</v>
      </c>
      <c r="R1074" s="10" t="s">
        <v>113</v>
      </c>
      <c r="S1074" s="11"/>
      <c r="T1074" s="6"/>
      <c r="U1074" s="28" t="str">
        <f>HYPERLINK("https://media.infra-m.ru/1862/1862628/cover/1862628.jpg", "Обложка")</f>
        <v>Обложка</v>
      </c>
      <c r="V1074" s="28" t="str">
        <f>HYPERLINK("https://znanium.com/catalog/product/1862628", "Ознакомиться")</f>
        <v>Ознакомиться</v>
      </c>
      <c r="W1074" s="8" t="s">
        <v>3143</v>
      </c>
      <c r="X1074" s="6"/>
      <c r="Y1074" s="6"/>
      <c r="Z1074" s="6"/>
      <c r="AA1074" s="6" t="s">
        <v>88</v>
      </c>
    </row>
    <row r="1075" spans="1:27" s="4" customFormat="1" ht="42" customHeight="1">
      <c r="A1075" s="5">
        <v>0</v>
      </c>
      <c r="B1075" s="6" t="s">
        <v>5918</v>
      </c>
      <c r="C1075" s="7">
        <v>500</v>
      </c>
      <c r="D1075" s="8" t="s">
        <v>5919</v>
      </c>
      <c r="E1075" s="8" t="s">
        <v>5920</v>
      </c>
      <c r="F1075" s="8" t="s">
        <v>5921</v>
      </c>
      <c r="G1075" s="6" t="s">
        <v>51</v>
      </c>
      <c r="H1075" s="6" t="s">
        <v>84</v>
      </c>
      <c r="I1075" s="8" t="s">
        <v>251</v>
      </c>
      <c r="J1075" s="9">
        <v>1</v>
      </c>
      <c r="K1075" s="9">
        <v>109</v>
      </c>
      <c r="L1075" s="9">
        <v>2023</v>
      </c>
      <c r="M1075" s="8" t="s">
        <v>5922</v>
      </c>
      <c r="N1075" s="8" t="s">
        <v>40</v>
      </c>
      <c r="O1075" s="8" t="s">
        <v>41</v>
      </c>
      <c r="P1075" s="6" t="s">
        <v>42</v>
      </c>
      <c r="Q1075" s="8" t="s">
        <v>43</v>
      </c>
      <c r="R1075" s="10" t="s">
        <v>310</v>
      </c>
      <c r="S1075" s="11"/>
      <c r="T1075" s="6"/>
      <c r="U1075" s="28" t="str">
        <f>HYPERLINK("https://media.infra-m.ru/1911/1911509/cover/1911509.jpg", "Обложка")</f>
        <v>Обложка</v>
      </c>
      <c r="V1075" s="28" t="str">
        <f>HYPERLINK("https://znanium.com/catalog/product/1911509", "Ознакомиться")</f>
        <v>Ознакомиться</v>
      </c>
      <c r="W1075" s="8" t="s">
        <v>5923</v>
      </c>
      <c r="X1075" s="6"/>
      <c r="Y1075" s="6"/>
      <c r="Z1075" s="6"/>
      <c r="AA1075" s="6" t="s">
        <v>422</v>
      </c>
    </row>
    <row r="1076" spans="1:27" s="4" customFormat="1" ht="42" customHeight="1">
      <c r="A1076" s="5">
        <v>0</v>
      </c>
      <c r="B1076" s="6" t="s">
        <v>5924</v>
      </c>
      <c r="C1076" s="13">
        <v>1010</v>
      </c>
      <c r="D1076" s="8" t="s">
        <v>5925</v>
      </c>
      <c r="E1076" s="8" t="s">
        <v>5926</v>
      </c>
      <c r="F1076" s="8" t="s">
        <v>5927</v>
      </c>
      <c r="G1076" s="6" t="s">
        <v>37</v>
      </c>
      <c r="H1076" s="6" t="s">
        <v>84</v>
      </c>
      <c r="I1076" s="8" t="s">
        <v>85</v>
      </c>
      <c r="J1076" s="9">
        <v>1</v>
      </c>
      <c r="K1076" s="9">
        <v>295</v>
      </c>
      <c r="L1076" s="9">
        <v>2019</v>
      </c>
      <c r="M1076" s="8" t="s">
        <v>5928</v>
      </c>
      <c r="N1076" s="8" t="s">
        <v>40</v>
      </c>
      <c r="O1076" s="8" t="s">
        <v>41</v>
      </c>
      <c r="P1076" s="6" t="s">
        <v>42</v>
      </c>
      <c r="Q1076" s="8" t="s">
        <v>43</v>
      </c>
      <c r="R1076" s="10" t="s">
        <v>310</v>
      </c>
      <c r="S1076" s="11"/>
      <c r="T1076" s="6"/>
      <c r="U1076" s="28" t="str">
        <f>HYPERLINK("https://media.infra-m.ru/1031/1031757/cover/1031757.jpg", "Обложка")</f>
        <v>Обложка</v>
      </c>
      <c r="V1076" s="28" t="str">
        <f>HYPERLINK("https://znanium.com/catalog/product/1031757", "Ознакомиться")</f>
        <v>Ознакомиться</v>
      </c>
      <c r="W1076" s="8" t="s">
        <v>45</v>
      </c>
      <c r="X1076" s="6"/>
      <c r="Y1076" s="6"/>
      <c r="Z1076" s="6"/>
      <c r="AA1076" s="6" t="s">
        <v>422</v>
      </c>
    </row>
    <row r="1077" spans="1:27" s="4" customFormat="1" ht="44.1" customHeight="1">
      <c r="A1077" s="5">
        <v>0</v>
      </c>
      <c r="B1077" s="6" t="s">
        <v>5929</v>
      </c>
      <c r="C1077" s="7">
        <v>540</v>
      </c>
      <c r="D1077" s="8" t="s">
        <v>5930</v>
      </c>
      <c r="E1077" s="8" t="s">
        <v>5931</v>
      </c>
      <c r="F1077" s="8" t="s">
        <v>5932</v>
      </c>
      <c r="G1077" s="6" t="s">
        <v>58</v>
      </c>
      <c r="H1077" s="6" t="s">
        <v>38</v>
      </c>
      <c r="I1077" s="8"/>
      <c r="J1077" s="9">
        <v>1</v>
      </c>
      <c r="K1077" s="9">
        <v>144</v>
      </c>
      <c r="L1077" s="9">
        <v>2021</v>
      </c>
      <c r="M1077" s="8" t="s">
        <v>5933</v>
      </c>
      <c r="N1077" s="8" t="s">
        <v>40</v>
      </c>
      <c r="O1077" s="8" t="s">
        <v>41</v>
      </c>
      <c r="P1077" s="6" t="s">
        <v>42</v>
      </c>
      <c r="Q1077" s="8" t="s">
        <v>43</v>
      </c>
      <c r="R1077" s="10" t="s">
        <v>750</v>
      </c>
      <c r="S1077" s="11"/>
      <c r="T1077" s="6"/>
      <c r="U1077" s="28" t="str">
        <f>HYPERLINK("https://media.infra-m.ru/1138/1138763/cover/1138763.jpg", "Обложка")</f>
        <v>Обложка</v>
      </c>
      <c r="V1077" s="28" t="str">
        <f>HYPERLINK("https://znanium.com/catalog/product/1138763", "Ознакомиться")</f>
        <v>Ознакомиться</v>
      </c>
      <c r="W1077" s="8" t="s">
        <v>114</v>
      </c>
      <c r="X1077" s="6"/>
      <c r="Y1077" s="6"/>
      <c r="Z1077" s="6"/>
      <c r="AA1077" s="6" t="s">
        <v>62</v>
      </c>
    </row>
    <row r="1078" spans="1:27" s="4" customFormat="1" ht="51.95" customHeight="1">
      <c r="A1078" s="5">
        <v>0</v>
      </c>
      <c r="B1078" s="6" t="s">
        <v>5934</v>
      </c>
      <c r="C1078" s="13">
        <v>2490</v>
      </c>
      <c r="D1078" s="8" t="s">
        <v>5935</v>
      </c>
      <c r="E1078" s="8" t="s">
        <v>5936</v>
      </c>
      <c r="F1078" s="8" t="s">
        <v>5937</v>
      </c>
      <c r="G1078" s="6" t="s">
        <v>58</v>
      </c>
      <c r="H1078" s="6" t="s">
        <v>38</v>
      </c>
      <c r="I1078" s="8"/>
      <c r="J1078" s="9">
        <v>1</v>
      </c>
      <c r="K1078" s="9">
        <v>576</v>
      </c>
      <c r="L1078" s="9">
        <v>2024</v>
      </c>
      <c r="M1078" s="8" t="s">
        <v>5938</v>
      </c>
      <c r="N1078" s="8" t="s">
        <v>40</v>
      </c>
      <c r="O1078" s="8" t="s">
        <v>41</v>
      </c>
      <c r="P1078" s="6" t="s">
        <v>42</v>
      </c>
      <c r="Q1078" s="8" t="s">
        <v>1670</v>
      </c>
      <c r="R1078" s="10" t="s">
        <v>5939</v>
      </c>
      <c r="S1078" s="11"/>
      <c r="T1078" s="6"/>
      <c r="U1078" s="28" t="str">
        <f>HYPERLINK("https://media.infra-m.ru/2090/2090010/cover/2090010.jpg", "Обложка")</f>
        <v>Обложка</v>
      </c>
      <c r="V1078" s="28" t="str">
        <f>HYPERLINK("https://znanium.com/catalog/product/2090010", "Ознакомиться")</f>
        <v>Ознакомиться</v>
      </c>
      <c r="W1078" s="8" t="s">
        <v>1692</v>
      </c>
      <c r="X1078" s="6" t="s">
        <v>381</v>
      </c>
      <c r="Y1078" s="6"/>
      <c r="Z1078" s="6"/>
      <c r="AA1078" s="6" t="s">
        <v>100</v>
      </c>
    </row>
    <row r="1079" spans="1:27" s="4" customFormat="1" ht="51.95" customHeight="1">
      <c r="A1079" s="5">
        <v>0</v>
      </c>
      <c r="B1079" s="6" t="s">
        <v>5940</v>
      </c>
      <c r="C1079" s="13">
        <v>2950</v>
      </c>
      <c r="D1079" s="8" t="s">
        <v>5941</v>
      </c>
      <c r="E1079" s="8" t="s">
        <v>5942</v>
      </c>
      <c r="F1079" s="8" t="s">
        <v>5943</v>
      </c>
      <c r="G1079" s="6" t="s">
        <v>37</v>
      </c>
      <c r="H1079" s="6" t="s">
        <v>38</v>
      </c>
      <c r="I1079" s="8"/>
      <c r="J1079" s="9">
        <v>1</v>
      </c>
      <c r="K1079" s="9">
        <v>656</v>
      </c>
      <c r="L1079" s="9">
        <v>2023</v>
      </c>
      <c r="M1079" s="8" t="s">
        <v>5944</v>
      </c>
      <c r="N1079" s="8" t="s">
        <v>40</v>
      </c>
      <c r="O1079" s="8" t="s">
        <v>41</v>
      </c>
      <c r="P1079" s="6" t="s">
        <v>4298</v>
      </c>
      <c r="Q1079" s="8" t="s">
        <v>76</v>
      </c>
      <c r="R1079" s="10" t="s">
        <v>5945</v>
      </c>
      <c r="S1079" s="11" t="s">
        <v>5946</v>
      </c>
      <c r="T1079" s="6"/>
      <c r="U1079" s="28" t="str">
        <f>HYPERLINK("https://media.infra-m.ru/2008/2008723/cover/2008723.jpg", "Обложка")</f>
        <v>Обложка</v>
      </c>
      <c r="V1079" s="28" t="str">
        <f>HYPERLINK("https://znanium.com/catalog/product/1896816", "Ознакомиться")</f>
        <v>Ознакомиться</v>
      </c>
      <c r="W1079" s="8" t="s">
        <v>5947</v>
      </c>
      <c r="X1079" s="6"/>
      <c r="Y1079" s="6"/>
      <c r="Z1079" s="6"/>
      <c r="AA1079" s="6" t="s">
        <v>289</v>
      </c>
    </row>
    <row r="1080" spans="1:27" s="4" customFormat="1" ht="51.95" customHeight="1">
      <c r="A1080" s="5">
        <v>0</v>
      </c>
      <c r="B1080" s="6" t="s">
        <v>5948</v>
      </c>
      <c r="C1080" s="13">
        <v>1194.9000000000001</v>
      </c>
      <c r="D1080" s="8" t="s">
        <v>5949</v>
      </c>
      <c r="E1080" s="8" t="s">
        <v>5950</v>
      </c>
      <c r="F1080" s="8" t="s">
        <v>5951</v>
      </c>
      <c r="G1080" s="6" t="s">
        <v>51</v>
      </c>
      <c r="H1080" s="6" t="s">
        <v>52</v>
      </c>
      <c r="I1080" s="8" t="s">
        <v>251</v>
      </c>
      <c r="J1080" s="9">
        <v>1</v>
      </c>
      <c r="K1080" s="9">
        <v>397</v>
      </c>
      <c r="L1080" s="9">
        <v>2018</v>
      </c>
      <c r="M1080" s="8" t="s">
        <v>5952</v>
      </c>
      <c r="N1080" s="8" t="s">
        <v>40</v>
      </c>
      <c r="O1080" s="8" t="s">
        <v>41</v>
      </c>
      <c r="P1080" s="6" t="s">
        <v>75</v>
      </c>
      <c r="Q1080" s="8" t="s">
        <v>43</v>
      </c>
      <c r="R1080" s="10"/>
      <c r="S1080" s="11"/>
      <c r="T1080" s="6"/>
      <c r="U1080" s="28" t="str">
        <f>HYPERLINK("https://media.infra-m.ru/0566/0566176/cover/566176.jpg", "Обложка")</f>
        <v>Обложка</v>
      </c>
      <c r="V1080" s="12"/>
      <c r="W1080" s="8"/>
      <c r="X1080" s="6"/>
      <c r="Y1080" s="6"/>
      <c r="Z1080" s="6"/>
      <c r="AA1080" s="6" t="s">
        <v>289</v>
      </c>
    </row>
    <row r="1081" spans="1:27" s="4" customFormat="1" ht="51.95" customHeight="1">
      <c r="A1081" s="5">
        <v>0</v>
      </c>
      <c r="B1081" s="6" t="s">
        <v>5953</v>
      </c>
      <c r="C1081" s="13">
        <v>1874</v>
      </c>
      <c r="D1081" s="8" t="s">
        <v>5954</v>
      </c>
      <c r="E1081" s="8" t="s">
        <v>5955</v>
      </c>
      <c r="F1081" s="8" t="s">
        <v>5956</v>
      </c>
      <c r="G1081" s="6" t="s">
        <v>58</v>
      </c>
      <c r="H1081" s="6" t="s">
        <v>38</v>
      </c>
      <c r="I1081" s="8"/>
      <c r="J1081" s="9">
        <v>1</v>
      </c>
      <c r="K1081" s="9">
        <v>448</v>
      </c>
      <c r="L1081" s="9">
        <v>2024</v>
      </c>
      <c r="M1081" s="8" t="s">
        <v>5957</v>
      </c>
      <c r="N1081" s="8" t="s">
        <v>40</v>
      </c>
      <c r="O1081" s="8" t="s">
        <v>41</v>
      </c>
      <c r="P1081" s="6" t="s">
        <v>42</v>
      </c>
      <c r="Q1081" s="8" t="s">
        <v>43</v>
      </c>
      <c r="R1081" s="10" t="s">
        <v>5958</v>
      </c>
      <c r="S1081" s="11"/>
      <c r="T1081" s="6"/>
      <c r="U1081" s="28" t="str">
        <f>HYPERLINK("https://media.infra-m.ru/2053/2053185/cover/2053185.jpg", "Обложка")</f>
        <v>Обложка</v>
      </c>
      <c r="V1081" s="28" t="str">
        <f>HYPERLINK("https://znanium.com/catalog/product/1859091", "Ознакомиться")</f>
        <v>Ознакомиться</v>
      </c>
      <c r="W1081" s="8" t="s">
        <v>124</v>
      </c>
      <c r="X1081" s="6"/>
      <c r="Y1081" s="6"/>
      <c r="Z1081" s="6"/>
      <c r="AA1081" s="6" t="s">
        <v>727</v>
      </c>
    </row>
    <row r="1082" spans="1:27" s="4" customFormat="1" ht="51.95" customHeight="1">
      <c r="A1082" s="5">
        <v>0</v>
      </c>
      <c r="B1082" s="6" t="s">
        <v>5959</v>
      </c>
      <c r="C1082" s="7">
        <v>860</v>
      </c>
      <c r="D1082" s="8" t="s">
        <v>5960</v>
      </c>
      <c r="E1082" s="8" t="s">
        <v>5961</v>
      </c>
      <c r="F1082" s="8" t="s">
        <v>593</v>
      </c>
      <c r="G1082" s="6" t="s">
        <v>37</v>
      </c>
      <c r="H1082" s="6" t="s">
        <v>38</v>
      </c>
      <c r="I1082" s="8"/>
      <c r="J1082" s="9">
        <v>1</v>
      </c>
      <c r="K1082" s="9">
        <v>204</v>
      </c>
      <c r="L1082" s="9">
        <v>2022</v>
      </c>
      <c r="M1082" s="8" t="s">
        <v>5962</v>
      </c>
      <c r="N1082" s="8" t="s">
        <v>40</v>
      </c>
      <c r="O1082" s="8" t="s">
        <v>41</v>
      </c>
      <c r="P1082" s="6" t="s">
        <v>42</v>
      </c>
      <c r="Q1082" s="8" t="s">
        <v>296</v>
      </c>
      <c r="R1082" s="10" t="s">
        <v>2559</v>
      </c>
      <c r="S1082" s="11"/>
      <c r="T1082" s="6"/>
      <c r="U1082" s="28" t="str">
        <f>HYPERLINK("https://media.infra-m.ru/1877/1877359/cover/1877359.jpg", "Обложка")</f>
        <v>Обложка</v>
      </c>
      <c r="V1082" s="28" t="str">
        <f>HYPERLINK("https://znanium.com/catalog/product/1877359", "Ознакомиться")</f>
        <v>Ознакомиться</v>
      </c>
      <c r="W1082" s="8" t="s">
        <v>114</v>
      </c>
      <c r="X1082" s="6"/>
      <c r="Y1082" s="6"/>
      <c r="Z1082" s="6"/>
      <c r="AA1082" s="6" t="s">
        <v>148</v>
      </c>
    </row>
    <row r="1083" spans="1:27" s="4" customFormat="1" ht="51.95" customHeight="1">
      <c r="A1083" s="5">
        <v>0</v>
      </c>
      <c r="B1083" s="6" t="s">
        <v>5963</v>
      </c>
      <c r="C1083" s="13">
        <v>1650</v>
      </c>
      <c r="D1083" s="8" t="s">
        <v>5964</v>
      </c>
      <c r="E1083" s="8" t="s">
        <v>5965</v>
      </c>
      <c r="F1083" s="8" t="s">
        <v>5966</v>
      </c>
      <c r="G1083" s="6" t="s">
        <v>37</v>
      </c>
      <c r="H1083" s="6" t="s">
        <v>84</v>
      </c>
      <c r="I1083" s="8" t="s">
        <v>251</v>
      </c>
      <c r="J1083" s="9">
        <v>1</v>
      </c>
      <c r="K1083" s="9">
        <v>484</v>
      </c>
      <c r="L1083" s="9">
        <v>2019</v>
      </c>
      <c r="M1083" s="8" t="s">
        <v>5967</v>
      </c>
      <c r="N1083" s="8" t="s">
        <v>40</v>
      </c>
      <c r="O1083" s="8" t="s">
        <v>41</v>
      </c>
      <c r="P1083" s="6" t="s">
        <v>295</v>
      </c>
      <c r="Q1083" s="8" t="s">
        <v>43</v>
      </c>
      <c r="R1083" s="10" t="s">
        <v>5968</v>
      </c>
      <c r="S1083" s="11"/>
      <c r="T1083" s="6"/>
      <c r="U1083" s="28" t="str">
        <f>HYPERLINK("https://media.infra-m.ru/0987/0987411/cover/987411.jpg", "Обложка")</f>
        <v>Обложка</v>
      </c>
      <c r="V1083" s="28" t="str">
        <f>HYPERLINK("https://znanium.com/catalog/product/987411", "Ознакомиться")</f>
        <v>Ознакомиться</v>
      </c>
      <c r="W1083" s="8" t="s">
        <v>237</v>
      </c>
      <c r="X1083" s="6"/>
      <c r="Y1083" s="6"/>
      <c r="Z1083" s="6"/>
      <c r="AA1083" s="6" t="s">
        <v>148</v>
      </c>
    </row>
    <row r="1084" spans="1:27" s="4" customFormat="1" ht="51.95" customHeight="1">
      <c r="A1084" s="5">
        <v>0</v>
      </c>
      <c r="B1084" s="6" t="s">
        <v>5969</v>
      </c>
      <c r="C1084" s="7">
        <v>960</v>
      </c>
      <c r="D1084" s="8" t="s">
        <v>5970</v>
      </c>
      <c r="E1084" s="8" t="s">
        <v>5971</v>
      </c>
      <c r="F1084" s="8" t="s">
        <v>5972</v>
      </c>
      <c r="G1084" s="6" t="s">
        <v>37</v>
      </c>
      <c r="H1084" s="6" t="s">
        <v>192</v>
      </c>
      <c r="I1084" s="8" t="s">
        <v>185</v>
      </c>
      <c r="J1084" s="9">
        <v>1</v>
      </c>
      <c r="K1084" s="9">
        <v>301</v>
      </c>
      <c r="L1084" s="9">
        <v>2019</v>
      </c>
      <c r="M1084" s="8" t="s">
        <v>5973</v>
      </c>
      <c r="N1084" s="8" t="s">
        <v>40</v>
      </c>
      <c r="O1084" s="8" t="s">
        <v>41</v>
      </c>
      <c r="P1084" s="6" t="s">
        <v>95</v>
      </c>
      <c r="Q1084" s="8" t="s">
        <v>76</v>
      </c>
      <c r="R1084" s="10" t="s">
        <v>3183</v>
      </c>
      <c r="S1084" s="11" t="s">
        <v>5974</v>
      </c>
      <c r="T1084" s="6"/>
      <c r="U1084" s="28" t="str">
        <f>HYPERLINK("https://media.infra-m.ru/0987/0987732/cover/987732.jpg", "Обложка")</f>
        <v>Обложка</v>
      </c>
      <c r="V1084" s="28" t="str">
        <f>HYPERLINK("https://znanium.com/catalog/product/2061321", "Ознакомиться")</f>
        <v>Ознакомиться</v>
      </c>
      <c r="W1084" s="8" t="s">
        <v>1108</v>
      </c>
      <c r="X1084" s="6"/>
      <c r="Y1084" s="6"/>
      <c r="Z1084" s="6"/>
      <c r="AA1084" s="6" t="s">
        <v>327</v>
      </c>
    </row>
    <row r="1085" spans="1:27" s="4" customFormat="1" ht="51.95" customHeight="1">
      <c r="A1085" s="5">
        <v>0</v>
      </c>
      <c r="B1085" s="6" t="s">
        <v>5975</v>
      </c>
      <c r="C1085" s="13">
        <v>1354.9</v>
      </c>
      <c r="D1085" s="8" t="s">
        <v>5976</v>
      </c>
      <c r="E1085" s="8" t="s">
        <v>5971</v>
      </c>
      <c r="F1085" s="8" t="s">
        <v>5972</v>
      </c>
      <c r="G1085" s="6" t="s">
        <v>37</v>
      </c>
      <c r="H1085" s="6" t="s">
        <v>192</v>
      </c>
      <c r="I1085" s="8" t="s">
        <v>93</v>
      </c>
      <c r="J1085" s="9">
        <v>1</v>
      </c>
      <c r="K1085" s="9">
        <v>301</v>
      </c>
      <c r="L1085" s="9">
        <v>2023</v>
      </c>
      <c r="M1085" s="8" t="s">
        <v>5977</v>
      </c>
      <c r="N1085" s="8" t="s">
        <v>40</v>
      </c>
      <c r="O1085" s="8" t="s">
        <v>41</v>
      </c>
      <c r="P1085" s="6" t="s">
        <v>95</v>
      </c>
      <c r="Q1085" s="8" t="s">
        <v>96</v>
      </c>
      <c r="R1085" s="10" t="s">
        <v>1680</v>
      </c>
      <c r="S1085" s="11" t="s">
        <v>5978</v>
      </c>
      <c r="T1085" s="6"/>
      <c r="U1085" s="28" t="str">
        <f>HYPERLINK("https://media.infra-m.ru/1893/1893948/cover/1893948.jpg", "Обложка")</f>
        <v>Обложка</v>
      </c>
      <c r="V1085" s="28" t="str">
        <f>HYPERLINK("https://znanium.com/catalog/product/2107419", "Ознакомиться")</f>
        <v>Ознакомиться</v>
      </c>
      <c r="W1085" s="8" t="s">
        <v>1108</v>
      </c>
      <c r="X1085" s="6"/>
      <c r="Y1085" s="6"/>
      <c r="Z1085" s="6" t="s">
        <v>136</v>
      </c>
      <c r="AA1085" s="6" t="s">
        <v>171</v>
      </c>
    </row>
    <row r="1086" spans="1:27" s="4" customFormat="1" ht="51.95" customHeight="1">
      <c r="A1086" s="5">
        <v>0</v>
      </c>
      <c r="B1086" s="6" t="s">
        <v>5979</v>
      </c>
      <c r="C1086" s="13">
        <v>1390</v>
      </c>
      <c r="D1086" s="8" t="s">
        <v>5980</v>
      </c>
      <c r="E1086" s="8" t="s">
        <v>5981</v>
      </c>
      <c r="F1086" s="8" t="s">
        <v>5972</v>
      </c>
      <c r="G1086" s="6" t="s">
        <v>37</v>
      </c>
      <c r="H1086" s="6" t="s">
        <v>84</v>
      </c>
      <c r="I1086" s="8" t="s">
        <v>93</v>
      </c>
      <c r="J1086" s="9">
        <v>1</v>
      </c>
      <c r="K1086" s="9">
        <v>291</v>
      </c>
      <c r="L1086" s="9">
        <v>2024</v>
      </c>
      <c r="M1086" s="8" t="s">
        <v>5982</v>
      </c>
      <c r="N1086" s="8" t="s">
        <v>40</v>
      </c>
      <c r="O1086" s="8" t="s">
        <v>41</v>
      </c>
      <c r="P1086" s="6" t="s">
        <v>95</v>
      </c>
      <c r="Q1086" s="8" t="s">
        <v>96</v>
      </c>
      <c r="R1086" s="10" t="s">
        <v>1680</v>
      </c>
      <c r="S1086" s="11" t="s">
        <v>5978</v>
      </c>
      <c r="T1086" s="6"/>
      <c r="U1086" s="28" t="str">
        <f>HYPERLINK("https://media.infra-m.ru/2107/2107419/cover/2107419.jpg", "Обложка")</f>
        <v>Обложка</v>
      </c>
      <c r="V1086" s="28" t="str">
        <f>HYPERLINK("https://znanium.com/catalog/product/2107419", "Ознакомиться")</f>
        <v>Ознакомиться</v>
      </c>
      <c r="W1086" s="8" t="s">
        <v>1108</v>
      </c>
      <c r="X1086" s="6" t="s">
        <v>381</v>
      </c>
      <c r="Y1086" s="6"/>
      <c r="Z1086" s="6" t="s">
        <v>136</v>
      </c>
      <c r="AA1086" s="6" t="s">
        <v>2841</v>
      </c>
    </row>
    <row r="1087" spans="1:27" s="4" customFormat="1" ht="51.95" customHeight="1">
      <c r="A1087" s="5">
        <v>0</v>
      </c>
      <c r="B1087" s="6" t="s">
        <v>5983</v>
      </c>
      <c r="C1087" s="13">
        <v>1370</v>
      </c>
      <c r="D1087" s="8" t="s">
        <v>5984</v>
      </c>
      <c r="E1087" s="8" t="s">
        <v>5981</v>
      </c>
      <c r="F1087" s="8" t="s">
        <v>5985</v>
      </c>
      <c r="G1087" s="6" t="s">
        <v>37</v>
      </c>
      <c r="H1087" s="6" t="s">
        <v>84</v>
      </c>
      <c r="I1087" s="8" t="s">
        <v>120</v>
      </c>
      <c r="J1087" s="9">
        <v>1</v>
      </c>
      <c r="K1087" s="9">
        <v>291</v>
      </c>
      <c r="L1087" s="9">
        <v>2024</v>
      </c>
      <c r="M1087" s="8" t="s">
        <v>5986</v>
      </c>
      <c r="N1087" s="8" t="s">
        <v>40</v>
      </c>
      <c r="O1087" s="8" t="s">
        <v>41</v>
      </c>
      <c r="P1087" s="6" t="s">
        <v>95</v>
      </c>
      <c r="Q1087" s="8" t="s">
        <v>76</v>
      </c>
      <c r="R1087" s="10" t="s">
        <v>3183</v>
      </c>
      <c r="S1087" s="11" t="s">
        <v>5987</v>
      </c>
      <c r="T1087" s="6"/>
      <c r="U1087" s="28" t="str">
        <f>HYPERLINK("https://media.infra-m.ru/2061/2061321/cover/2061321.jpg", "Обложка")</f>
        <v>Обложка</v>
      </c>
      <c r="V1087" s="28" t="str">
        <f>HYPERLINK("https://znanium.com/catalog/product/2061321", "Ознакомиться")</f>
        <v>Ознакомиться</v>
      </c>
      <c r="W1087" s="8" t="s">
        <v>1108</v>
      </c>
      <c r="X1087" s="6"/>
      <c r="Y1087" s="6"/>
      <c r="Z1087" s="6"/>
      <c r="AA1087" s="6" t="s">
        <v>2437</v>
      </c>
    </row>
    <row r="1088" spans="1:27" s="4" customFormat="1" ht="51.95" customHeight="1">
      <c r="A1088" s="5">
        <v>0</v>
      </c>
      <c r="B1088" s="6" t="s">
        <v>5988</v>
      </c>
      <c r="C1088" s="13">
        <v>2250</v>
      </c>
      <c r="D1088" s="8" t="s">
        <v>5989</v>
      </c>
      <c r="E1088" s="8" t="s">
        <v>5990</v>
      </c>
      <c r="F1088" s="8" t="s">
        <v>5991</v>
      </c>
      <c r="G1088" s="6" t="s">
        <v>37</v>
      </c>
      <c r="H1088" s="6" t="s">
        <v>84</v>
      </c>
      <c r="I1088" s="8" t="s">
        <v>185</v>
      </c>
      <c r="J1088" s="9">
        <v>1</v>
      </c>
      <c r="K1088" s="9">
        <v>501</v>
      </c>
      <c r="L1088" s="9">
        <v>2023</v>
      </c>
      <c r="M1088" s="8" t="s">
        <v>5992</v>
      </c>
      <c r="N1088" s="8" t="s">
        <v>40</v>
      </c>
      <c r="O1088" s="8" t="s">
        <v>41</v>
      </c>
      <c r="P1088" s="6" t="s">
        <v>95</v>
      </c>
      <c r="Q1088" s="8" t="s">
        <v>76</v>
      </c>
      <c r="R1088" s="10" t="s">
        <v>113</v>
      </c>
      <c r="S1088" s="11" t="s">
        <v>3896</v>
      </c>
      <c r="T1088" s="6"/>
      <c r="U1088" s="28" t="str">
        <f>HYPERLINK("https://media.infra-m.ru/1976/1976186/cover/1976186.jpg", "Обложка")</f>
        <v>Обложка</v>
      </c>
      <c r="V1088" s="28" t="str">
        <f>HYPERLINK("https://znanium.com/catalog/product/1976186", "Ознакомиться")</f>
        <v>Ознакомиться</v>
      </c>
      <c r="W1088" s="8" t="s">
        <v>3511</v>
      </c>
      <c r="X1088" s="6"/>
      <c r="Y1088" s="6"/>
      <c r="Z1088" s="6"/>
      <c r="AA1088" s="6" t="s">
        <v>62</v>
      </c>
    </row>
    <row r="1089" spans="1:27" s="4" customFormat="1" ht="51.95" customHeight="1">
      <c r="A1089" s="5">
        <v>0</v>
      </c>
      <c r="B1089" s="6" t="s">
        <v>5993</v>
      </c>
      <c r="C1089" s="13">
        <v>1690</v>
      </c>
      <c r="D1089" s="8" t="s">
        <v>5994</v>
      </c>
      <c r="E1089" s="8" t="s">
        <v>5995</v>
      </c>
      <c r="F1089" s="8" t="s">
        <v>5996</v>
      </c>
      <c r="G1089" s="6" t="s">
        <v>37</v>
      </c>
      <c r="H1089" s="6" t="s">
        <v>38</v>
      </c>
      <c r="I1089" s="8"/>
      <c r="J1089" s="9">
        <v>1</v>
      </c>
      <c r="K1089" s="9">
        <v>368</v>
      </c>
      <c r="L1089" s="9">
        <v>2023</v>
      </c>
      <c r="M1089" s="8" t="s">
        <v>5997</v>
      </c>
      <c r="N1089" s="8" t="s">
        <v>40</v>
      </c>
      <c r="O1089" s="8" t="s">
        <v>41</v>
      </c>
      <c r="P1089" s="6" t="s">
        <v>95</v>
      </c>
      <c r="Q1089" s="8" t="s">
        <v>76</v>
      </c>
      <c r="R1089" s="10" t="s">
        <v>168</v>
      </c>
      <c r="S1089" s="11"/>
      <c r="T1089" s="6"/>
      <c r="U1089" s="28" t="str">
        <f>HYPERLINK("https://media.infra-m.ru/1959/1959267/cover/1959267.jpg", "Обложка")</f>
        <v>Обложка</v>
      </c>
      <c r="V1089" s="28" t="str">
        <f>HYPERLINK("https://znanium.com/catalog/product/1959267", "Ознакомиться")</f>
        <v>Ознакомиться</v>
      </c>
      <c r="W1089" s="8" t="s">
        <v>114</v>
      </c>
      <c r="X1089" s="6"/>
      <c r="Y1089" s="6"/>
      <c r="Z1089" s="6"/>
      <c r="AA1089" s="6" t="s">
        <v>5998</v>
      </c>
    </row>
    <row r="1090" spans="1:27" s="4" customFormat="1" ht="51.95" customHeight="1">
      <c r="A1090" s="5">
        <v>0</v>
      </c>
      <c r="B1090" s="6" t="s">
        <v>5999</v>
      </c>
      <c r="C1090" s="7">
        <v>79.900000000000006</v>
      </c>
      <c r="D1090" s="8" t="s">
        <v>6000</v>
      </c>
      <c r="E1090" s="8" t="s">
        <v>5981</v>
      </c>
      <c r="F1090" s="8"/>
      <c r="G1090" s="6" t="s">
        <v>51</v>
      </c>
      <c r="H1090" s="6" t="s">
        <v>52</v>
      </c>
      <c r="I1090" s="8" t="s">
        <v>226</v>
      </c>
      <c r="J1090" s="9">
        <v>1</v>
      </c>
      <c r="K1090" s="9">
        <v>93</v>
      </c>
      <c r="L1090" s="9">
        <v>2017</v>
      </c>
      <c r="M1090" s="8" t="s">
        <v>6001</v>
      </c>
      <c r="N1090" s="8" t="s">
        <v>40</v>
      </c>
      <c r="O1090" s="8" t="s">
        <v>41</v>
      </c>
      <c r="P1090" s="6" t="s">
        <v>228</v>
      </c>
      <c r="Q1090" s="8" t="s">
        <v>76</v>
      </c>
      <c r="R1090" s="10" t="s">
        <v>6002</v>
      </c>
      <c r="S1090" s="11"/>
      <c r="T1090" s="6"/>
      <c r="U1090" s="28" t="str">
        <f>HYPERLINK("https://media.infra-m.ru/0765/0765584/cover/765584.jpg", "Обложка")</f>
        <v>Обложка</v>
      </c>
      <c r="V1090" s="28" t="str">
        <f>HYPERLINK("https://znanium.com/catalog/product/765584", "Ознакомиться")</f>
        <v>Ознакомиться</v>
      </c>
      <c r="W1090" s="8"/>
      <c r="X1090" s="6"/>
      <c r="Y1090" s="6"/>
      <c r="Z1090" s="6"/>
      <c r="AA1090" s="6" t="s">
        <v>855</v>
      </c>
    </row>
    <row r="1091" spans="1:27" s="4" customFormat="1" ht="42" customHeight="1">
      <c r="A1091" s="5">
        <v>0</v>
      </c>
      <c r="B1091" s="6" t="s">
        <v>6003</v>
      </c>
      <c r="C1091" s="13">
        <v>1479.9</v>
      </c>
      <c r="D1091" s="8" t="s">
        <v>6004</v>
      </c>
      <c r="E1091" s="8" t="s">
        <v>6005</v>
      </c>
      <c r="F1091" s="8" t="s">
        <v>6006</v>
      </c>
      <c r="G1091" s="6" t="s">
        <v>58</v>
      </c>
      <c r="H1091" s="6" t="s">
        <v>38</v>
      </c>
      <c r="I1091" s="8"/>
      <c r="J1091" s="9">
        <v>1</v>
      </c>
      <c r="K1091" s="9">
        <v>328</v>
      </c>
      <c r="L1091" s="9">
        <v>2023</v>
      </c>
      <c r="M1091" s="8" t="s">
        <v>6007</v>
      </c>
      <c r="N1091" s="8" t="s">
        <v>40</v>
      </c>
      <c r="O1091" s="8" t="s">
        <v>41</v>
      </c>
      <c r="P1091" s="6" t="s">
        <v>42</v>
      </c>
      <c r="Q1091" s="8" t="s">
        <v>43</v>
      </c>
      <c r="R1091" s="10" t="s">
        <v>6008</v>
      </c>
      <c r="S1091" s="11"/>
      <c r="T1091" s="6"/>
      <c r="U1091" s="28" t="str">
        <f>HYPERLINK("https://media.infra-m.ru/1905/1905570/cover/1905570.jpg", "Обложка")</f>
        <v>Обложка</v>
      </c>
      <c r="V1091" s="28" t="str">
        <f>HYPERLINK("https://znanium.com/catalog/product/1905570", "Ознакомиться")</f>
        <v>Ознакомиться</v>
      </c>
      <c r="W1091" s="8" t="s">
        <v>45</v>
      </c>
      <c r="X1091" s="6"/>
      <c r="Y1091" s="6"/>
      <c r="Z1091" s="6"/>
      <c r="AA1091" s="6" t="s">
        <v>408</v>
      </c>
    </row>
    <row r="1092" spans="1:27" s="4" customFormat="1" ht="42" customHeight="1">
      <c r="A1092" s="5">
        <v>0</v>
      </c>
      <c r="B1092" s="6" t="s">
        <v>6009</v>
      </c>
      <c r="C1092" s="7">
        <v>490</v>
      </c>
      <c r="D1092" s="8" t="s">
        <v>6010</v>
      </c>
      <c r="E1092" s="8" t="s">
        <v>6011</v>
      </c>
      <c r="F1092" s="8" t="s">
        <v>6012</v>
      </c>
      <c r="G1092" s="6" t="s">
        <v>51</v>
      </c>
      <c r="H1092" s="6" t="s">
        <v>38</v>
      </c>
      <c r="I1092" s="8"/>
      <c r="J1092" s="9">
        <v>1</v>
      </c>
      <c r="K1092" s="9">
        <v>96</v>
      </c>
      <c r="L1092" s="9">
        <v>2024</v>
      </c>
      <c r="M1092" s="8" t="s">
        <v>6013</v>
      </c>
      <c r="N1092" s="8" t="s">
        <v>40</v>
      </c>
      <c r="O1092" s="8" t="s">
        <v>41</v>
      </c>
      <c r="P1092" s="6" t="s">
        <v>42</v>
      </c>
      <c r="Q1092" s="8" t="s">
        <v>43</v>
      </c>
      <c r="R1092" s="10" t="s">
        <v>340</v>
      </c>
      <c r="S1092" s="11"/>
      <c r="T1092" s="6"/>
      <c r="U1092" s="28" t="str">
        <f>HYPERLINK("https://media.infra-m.ru/2104/2104820/cover/2104820.jpg", "Обложка")</f>
        <v>Обложка</v>
      </c>
      <c r="V1092" s="28" t="str">
        <f>HYPERLINK("https://znanium.com/catalog/product/1083102", "Ознакомиться")</f>
        <v>Ознакомиться</v>
      </c>
      <c r="W1092" s="8" t="s">
        <v>78</v>
      </c>
      <c r="X1092" s="6"/>
      <c r="Y1092" s="6"/>
      <c r="Z1092" s="6"/>
      <c r="AA1092" s="6" t="s">
        <v>148</v>
      </c>
    </row>
    <row r="1093" spans="1:27" s="4" customFormat="1" ht="42" customHeight="1">
      <c r="A1093" s="5">
        <v>0</v>
      </c>
      <c r="B1093" s="6" t="s">
        <v>6014</v>
      </c>
      <c r="C1093" s="13">
        <v>1450</v>
      </c>
      <c r="D1093" s="8" t="s">
        <v>6015</v>
      </c>
      <c r="E1093" s="8" t="s">
        <v>6016</v>
      </c>
      <c r="F1093" s="8" t="s">
        <v>6017</v>
      </c>
      <c r="G1093" s="6" t="s">
        <v>37</v>
      </c>
      <c r="H1093" s="6" t="s">
        <v>38</v>
      </c>
      <c r="I1093" s="8"/>
      <c r="J1093" s="9">
        <v>1</v>
      </c>
      <c r="K1093" s="9">
        <v>256</v>
      </c>
      <c r="L1093" s="9">
        <v>2023</v>
      </c>
      <c r="M1093" s="8" t="s">
        <v>6018</v>
      </c>
      <c r="N1093" s="8" t="s">
        <v>40</v>
      </c>
      <c r="O1093" s="8" t="s">
        <v>41</v>
      </c>
      <c r="P1093" s="6" t="s">
        <v>42</v>
      </c>
      <c r="Q1093" s="8" t="s">
        <v>43</v>
      </c>
      <c r="R1093" s="10" t="s">
        <v>69</v>
      </c>
      <c r="S1093" s="11"/>
      <c r="T1093" s="6"/>
      <c r="U1093" s="28" t="str">
        <f>HYPERLINK("https://media.infra-m.ru/1896/1896819/cover/1896819.jpg", "Обложка")</f>
        <v>Обложка</v>
      </c>
      <c r="V1093" s="28" t="str">
        <f>HYPERLINK("https://znanium.com/catalog/product/1896819", "Ознакомиться")</f>
        <v>Ознакомиться</v>
      </c>
      <c r="W1093" s="8"/>
      <c r="X1093" s="6"/>
      <c r="Y1093" s="6"/>
      <c r="Z1093" s="6"/>
      <c r="AA1093" s="6" t="s">
        <v>343</v>
      </c>
    </row>
    <row r="1094" spans="1:27" s="4" customFormat="1" ht="42" customHeight="1">
      <c r="A1094" s="5">
        <v>0</v>
      </c>
      <c r="B1094" s="6" t="s">
        <v>6019</v>
      </c>
      <c r="C1094" s="7">
        <v>890</v>
      </c>
      <c r="D1094" s="8" t="s">
        <v>6020</v>
      </c>
      <c r="E1094" s="8" t="s">
        <v>6021</v>
      </c>
      <c r="F1094" s="8" t="s">
        <v>6022</v>
      </c>
      <c r="G1094" s="6" t="s">
        <v>37</v>
      </c>
      <c r="H1094" s="6" t="s">
        <v>38</v>
      </c>
      <c r="I1094" s="8"/>
      <c r="J1094" s="9">
        <v>1</v>
      </c>
      <c r="K1094" s="9">
        <v>216</v>
      </c>
      <c r="L1094" s="9">
        <v>2022</v>
      </c>
      <c r="M1094" s="8" t="s">
        <v>6023</v>
      </c>
      <c r="N1094" s="8" t="s">
        <v>40</v>
      </c>
      <c r="O1094" s="8" t="s">
        <v>41</v>
      </c>
      <c r="P1094" s="6" t="s">
        <v>42</v>
      </c>
      <c r="Q1094" s="8" t="s">
        <v>43</v>
      </c>
      <c r="R1094" s="10" t="s">
        <v>340</v>
      </c>
      <c r="S1094" s="11"/>
      <c r="T1094" s="6"/>
      <c r="U1094" s="28" t="str">
        <f>HYPERLINK("https://media.infra-m.ru/1864/1864432/cover/1864432.jpg", "Обложка")</f>
        <v>Обложка</v>
      </c>
      <c r="V1094" s="28" t="str">
        <f>HYPERLINK("https://znanium.com/catalog/product/1864432", "Ознакомиться")</f>
        <v>Ознакомиться</v>
      </c>
      <c r="W1094" s="8" t="s">
        <v>124</v>
      </c>
      <c r="X1094" s="6"/>
      <c r="Y1094" s="6"/>
      <c r="Z1094" s="6"/>
      <c r="AA1094" s="6" t="s">
        <v>115</v>
      </c>
    </row>
    <row r="1095" spans="1:27" s="4" customFormat="1" ht="42" customHeight="1">
      <c r="A1095" s="5">
        <v>0</v>
      </c>
      <c r="B1095" s="6" t="s">
        <v>6024</v>
      </c>
      <c r="C1095" s="7">
        <v>890</v>
      </c>
      <c r="D1095" s="8" t="s">
        <v>6025</v>
      </c>
      <c r="E1095" s="8" t="s">
        <v>6026</v>
      </c>
      <c r="F1095" s="8" t="s">
        <v>6027</v>
      </c>
      <c r="G1095" s="6" t="s">
        <v>51</v>
      </c>
      <c r="H1095" s="6" t="s">
        <v>84</v>
      </c>
      <c r="I1095" s="8" t="s">
        <v>251</v>
      </c>
      <c r="J1095" s="9">
        <v>1</v>
      </c>
      <c r="K1095" s="9">
        <v>228</v>
      </c>
      <c r="L1095" s="9">
        <v>2022</v>
      </c>
      <c r="M1095" s="8" t="s">
        <v>6028</v>
      </c>
      <c r="N1095" s="8" t="s">
        <v>40</v>
      </c>
      <c r="O1095" s="8" t="s">
        <v>41</v>
      </c>
      <c r="P1095" s="6" t="s">
        <v>42</v>
      </c>
      <c r="Q1095" s="8" t="s">
        <v>43</v>
      </c>
      <c r="R1095" s="10" t="s">
        <v>310</v>
      </c>
      <c r="S1095" s="11"/>
      <c r="T1095" s="6"/>
      <c r="U1095" s="28" t="str">
        <f>HYPERLINK("https://media.infra-m.ru/1850/1850675/cover/1850675.jpg", "Обложка")</f>
        <v>Обложка</v>
      </c>
      <c r="V1095" s="28" t="str">
        <f>HYPERLINK("https://znanium.com/catalog/product/1850675", "Ознакомиться")</f>
        <v>Ознакомиться</v>
      </c>
      <c r="W1095" s="8" t="s">
        <v>124</v>
      </c>
      <c r="X1095" s="6"/>
      <c r="Y1095" s="6"/>
      <c r="Z1095" s="6"/>
      <c r="AA1095" s="6" t="s">
        <v>289</v>
      </c>
    </row>
    <row r="1096" spans="1:27" s="4" customFormat="1" ht="51.95" customHeight="1">
      <c r="A1096" s="5">
        <v>0</v>
      </c>
      <c r="B1096" s="6" t="s">
        <v>6029</v>
      </c>
      <c r="C1096" s="7">
        <v>944.9</v>
      </c>
      <c r="D1096" s="8" t="s">
        <v>6030</v>
      </c>
      <c r="E1096" s="8" t="s">
        <v>6031</v>
      </c>
      <c r="F1096" s="8" t="s">
        <v>935</v>
      </c>
      <c r="G1096" s="6" t="s">
        <v>58</v>
      </c>
      <c r="H1096" s="6" t="s">
        <v>38</v>
      </c>
      <c r="I1096" s="8"/>
      <c r="J1096" s="9">
        <v>10</v>
      </c>
      <c r="K1096" s="9">
        <v>432</v>
      </c>
      <c r="L1096" s="9">
        <v>2017</v>
      </c>
      <c r="M1096" s="8" t="s">
        <v>6032</v>
      </c>
      <c r="N1096" s="8" t="s">
        <v>40</v>
      </c>
      <c r="O1096" s="8" t="s">
        <v>41</v>
      </c>
      <c r="P1096" s="6" t="s">
        <v>95</v>
      </c>
      <c r="Q1096" s="8" t="s">
        <v>76</v>
      </c>
      <c r="R1096" s="10" t="s">
        <v>3433</v>
      </c>
      <c r="S1096" s="11" t="s">
        <v>6033</v>
      </c>
      <c r="T1096" s="6"/>
      <c r="U1096" s="28" t="str">
        <f>HYPERLINK("https://media.infra-m.ru/0758/0758029/cover/758029.jpg", "Обложка")</f>
        <v>Обложка</v>
      </c>
      <c r="V1096" s="28" t="str">
        <f>HYPERLINK("https://znanium.com/catalog/product/1986688", "Ознакомиться")</f>
        <v>Ознакомиться</v>
      </c>
      <c r="W1096" s="8" t="s">
        <v>78</v>
      </c>
      <c r="X1096" s="6"/>
      <c r="Y1096" s="6"/>
      <c r="Z1096" s="6"/>
      <c r="AA1096" s="6" t="s">
        <v>3102</v>
      </c>
    </row>
    <row r="1097" spans="1:27" s="4" customFormat="1" ht="42" customHeight="1">
      <c r="A1097" s="5">
        <v>0</v>
      </c>
      <c r="B1097" s="6" t="s">
        <v>6034</v>
      </c>
      <c r="C1097" s="13">
        <v>1744.9</v>
      </c>
      <c r="D1097" s="8" t="s">
        <v>6035</v>
      </c>
      <c r="E1097" s="8" t="s">
        <v>6036</v>
      </c>
      <c r="F1097" s="8" t="s">
        <v>6037</v>
      </c>
      <c r="G1097" s="6" t="s">
        <v>58</v>
      </c>
      <c r="H1097" s="6" t="s">
        <v>38</v>
      </c>
      <c r="I1097" s="8"/>
      <c r="J1097" s="9">
        <v>1</v>
      </c>
      <c r="K1097" s="9">
        <v>496</v>
      </c>
      <c r="L1097" s="9">
        <v>2019</v>
      </c>
      <c r="M1097" s="8" t="s">
        <v>6038</v>
      </c>
      <c r="N1097" s="8" t="s">
        <v>40</v>
      </c>
      <c r="O1097" s="8" t="s">
        <v>41</v>
      </c>
      <c r="P1097" s="6" t="s">
        <v>42</v>
      </c>
      <c r="Q1097" s="8" t="s">
        <v>43</v>
      </c>
      <c r="R1097" s="10" t="s">
        <v>310</v>
      </c>
      <c r="S1097" s="11"/>
      <c r="T1097" s="6"/>
      <c r="U1097" s="28" t="str">
        <f>HYPERLINK("https://media.infra-m.ru/1002/1002086/cover/1002086.jpg", "Обложка")</f>
        <v>Обложка</v>
      </c>
      <c r="V1097" s="28" t="str">
        <f>HYPERLINK("https://znanium.com/catalog/product/1002086", "Ознакомиться")</f>
        <v>Ознакомиться</v>
      </c>
      <c r="W1097" s="8" t="s">
        <v>2729</v>
      </c>
      <c r="X1097" s="6"/>
      <c r="Y1097" s="6"/>
      <c r="Z1097" s="6"/>
      <c r="AA1097" s="6" t="s">
        <v>727</v>
      </c>
    </row>
    <row r="1098" spans="1:27" s="4" customFormat="1" ht="44.1" customHeight="1">
      <c r="A1098" s="5">
        <v>0</v>
      </c>
      <c r="B1098" s="6" t="s">
        <v>6039</v>
      </c>
      <c r="C1098" s="7">
        <v>670</v>
      </c>
      <c r="D1098" s="8" t="s">
        <v>6040</v>
      </c>
      <c r="E1098" s="8" t="s">
        <v>6041</v>
      </c>
      <c r="F1098" s="8" t="s">
        <v>6042</v>
      </c>
      <c r="G1098" s="6" t="s">
        <v>51</v>
      </c>
      <c r="H1098" s="6" t="s">
        <v>84</v>
      </c>
      <c r="I1098" s="8" t="s">
        <v>251</v>
      </c>
      <c r="J1098" s="9">
        <v>1</v>
      </c>
      <c r="K1098" s="9">
        <v>148</v>
      </c>
      <c r="L1098" s="9">
        <v>2023</v>
      </c>
      <c r="M1098" s="8" t="s">
        <v>6043</v>
      </c>
      <c r="N1098" s="8" t="s">
        <v>40</v>
      </c>
      <c r="O1098" s="8" t="s">
        <v>41</v>
      </c>
      <c r="P1098" s="6" t="s">
        <v>42</v>
      </c>
      <c r="Q1098" s="8" t="s">
        <v>43</v>
      </c>
      <c r="R1098" s="10" t="s">
        <v>718</v>
      </c>
      <c r="S1098" s="11"/>
      <c r="T1098" s="6"/>
      <c r="U1098" s="28" t="str">
        <f>HYPERLINK("https://media.infra-m.ru/1971/1971048/cover/1971048.jpg", "Обложка")</f>
        <v>Обложка</v>
      </c>
      <c r="V1098" s="28" t="str">
        <f>HYPERLINK("https://znanium.com/catalog/product/1971048", "Ознакомиться")</f>
        <v>Ознакомиться</v>
      </c>
      <c r="W1098" s="8"/>
      <c r="X1098" s="6"/>
      <c r="Y1098" s="6"/>
      <c r="Z1098" s="6"/>
      <c r="AA1098" s="6" t="s">
        <v>415</v>
      </c>
    </row>
    <row r="1099" spans="1:27" s="4" customFormat="1" ht="42" customHeight="1">
      <c r="A1099" s="5">
        <v>0</v>
      </c>
      <c r="B1099" s="6" t="s">
        <v>6044</v>
      </c>
      <c r="C1099" s="7">
        <v>884.9</v>
      </c>
      <c r="D1099" s="8" t="s">
        <v>6045</v>
      </c>
      <c r="E1099" s="8" t="s">
        <v>6046</v>
      </c>
      <c r="F1099" s="8" t="s">
        <v>6047</v>
      </c>
      <c r="G1099" s="6" t="s">
        <v>51</v>
      </c>
      <c r="H1099" s="6" t="s">
        <v>84</v>
      </c>
      <c r="I1099" s="8" t="s">
        <v>251</v>
      </c>
      <c r="J1099" s="9">
        <v>1</v>
      </c>
      <c r="K1099" s="9">
        <v>197</v>
      </c>
      <c r="L1099" s="9">
        <v>2023</v>
      </c>
      <c r="M1099" s="8" t="s">
        <v>6048</v>
      </c>
      <c r="N1099" s="8" t="s">
        <v>40</v>
      </c>
      <c r="O1099" s="8" t="s">
        <v>41</v>
      </c>
      <c r="P1099" s="6" t="s">
        <v>42</v>
      </c>
      <c r="Q1099" s="8" t="s">
        <v>43</v>
      </c>
      <c r="R1099" s="10" t="s">
        <v>69</v>
      </c>
      <c r="S1099" s="11"/>
      <c r="T1099" s="6"/>
      <c r="U1099" s="28" t="str">
        <f>HYPERLINK("https://media.infra-m.ru/1964/1964978/cover/1964978.jpg", "Обложка")</f>
        <v>Обложка</v>
      </c>
      <c r="V1099" s="28" t="str">
        <f>HYPERLINK("https://znanium.com/catalog/product/1008854", "Ознакомиться")</f>
        <v>Ознакомиться</v>
      </c>
      <c r="W1099" s="8" t="s">
        <v>6049</v>
      </c>
      <c r="X1099" s="6"/>
      <c r="Y1099" s="6"/>
      <c r="Z1099" s="6"/>
      <c r="AA1099" s="6" t="s">
        <v>115</v>
      </c>
    </row>
    <row r="1100" spans="1:27" s="4" customFormat="1" ht="42" customHeight="1">
      <c r="A1100" s="5">
        <v>0</v>
      </c>
      <c r="B1100" s="6" t="s">
        <v>6050</v>
      </c>
      <c r="C1100" s="7">
        <v>940</v>
      </c>
      <c r="D1100" s="8" t="s">
        <v>6051</v>
      </c>
      <c r="E1100" s="8" t="s">
        <v>6052</v>
      </c>
      <c r="F1100" s="8" t="s">
        <v>6053</v>
      </c>
      <c r="G1100" s="6" t="s">
        <v>51</v>
      </c>
      <c r="H1100" s="6" t="s">
        <v>52</v>
      </c>
      <c r="I1100" s="8" t="s">
        <v>251</v>
      </c>
      <c r="J1100" s="9">
        <v>1</v>
      </c>
      <c r="K1100" s="9">
        <v>276</v>
      </c>
      <c r="L1100" s="9">
        <v>2019</v>
      </c>
      <c r="M1100" s="8" t="s">
        <v>6054</v>
      </c>
      <c r="N1100" s="8" t="s">
        <v>40</v>
      </c>
      <c r="O1100" s="8" t="s">
        <v>41</v>
      </c>
      <c r="P1100" s="6" t="s">
        <v>42</v>
      </c>
      <c r="Q1100" s="8" t="s">
        <v>43</v>
      </c>
      <c r="R1100" s="10" t="s">
        <v>69</v>
      </c>
      <c r="S1100" s="11"/>
      <c r="T1100" s="6"/>
      <c r="U1100" s="28" t="str">
        <f>HYPERLINK("https://media.infra-m.ru/1010/1010020/cover/1010020.jpg", "Обложка")</f>
        <v>Обложка</v>
      </c>
      <c r="V1100" s="28" t="str">
        <f>HYPERLINK("https://znanium.com/catalog/product/851217", "Ознакомиться")</f>
        <v>Ознакомиться</v>
      </c>
      <c r="W1100" s="8"/>
      <c r="X1100" s="6"/>
      <c r="Y1100" s="6"/>
      <c r="Z1100" s="6"/>
      <c r="AA1100" s="6" t="s">
        <v>836</v>
      </c>
    </row>
    <row r="1101" spans="1:27" s="4" customFormat="1" ht="42" customHeight="1">
      <c r="A1101" s="5">
        <v>0</v>
      </c>
      <c r="B1101" s="6" t="s">
        <v>6055</v>
      </c>
      <c r="C1101" s="13">
        <v>1604</v>
      </c>
      <c r="D1101" s="8" t="s">
        <v>6056</v>
      </c>
      <c r="E1101" s="8" t="s">
        <v>6057</v>
      </c>
      <c r="F1101" s="8" t="s">
        <v>6053</v>
      </c>
      <c r="G1101" s="6" t="s">
        <v>51</v>
      </c>
      <c r="H1101" s="6" t="s">
        <v>52</v>
      </c>
      <c r="I1101" s="8" t="s">
        <v>251</v>
      </c>
      <c r="J1101" s="9">
        <v>1</v>
      </c>
      <c r="K1101" s="9">
        <v>348</v>
      </c>
      <c r="L1101" s="9">
        <v>2024</v>
      </c>
      <c r="M1101" s="8" t="s">
        <v>6058</v>
      </c>
      <c r="N1101" s="8" t="s">
        <v>40</v>
      </c>
      <c r="O1101" s="8" t="s">
        <v>41</v>
      </c>
      <c r="P1101" s="6" t="s">
        <v>42</v>
      </c>
      <c r="Q1101" s="8" t="s">
        <v>43</v>
      </c>
      <c r="R1101" s="10" t="s">
        <v>69</v>
      </c>
      <c r="S1101" s="11"/>
      <c r="T1101" s="6"/>
      <c r="U1101" s="28" t="str">
        <f>HYPERLINK("https://media.infra-m.ru/1911/1911798/cover/1911798.jpg", "Обложка")</f>
        <v>Обложка</v>
      </c>
      <c r="V1101" s="28" t="str">
        <f>HYPERLINK("https://znanium.com/catalog/product/851217", "Ознакомиться")</f>
        <v>Ознакомиться</v>
      </c>
      <c r="W1101" s="8"/>
      <c r="X1101" s="6"/>
      <c r="Y1101" s="6"/>
      <c r="Z1101" s="6"/>
      <c r="AA1101" s="6" t="s">
        <v>640</v>
      </c>
    </row>
    <row r="1102" spans="1:27" s="4" customFormat="1" ht="42" customHeight="1">
      <c r="A1102" s="5">
        <v>0</v>
      </c>
      <c r="B1102" s="6" t="s">
        <v>6059</v>
      </c>
      <c r="C1102" s="7">
        <v>880</v>
      </c>
      <c r="D1102" s="8" t="s">
        <v>6060</v>
      </c>
      <c r="E1102" s="8" t="s">
        <v>6061</v>
      </c>
      <c r="F1102" s="8" t="s">
        <v>6053</v>
      </c>
      <c r="G1102" s="6" t="s">
        <v>51</v>
      </c>
      <c r="H1102" s="6" t="s">
        <v>52</v>
      </c>
      <c r="I1102" s="8" t="s">
        <v>251</v>
      </c>
      <c r="J1102" s="9">
        <v>1</v>
      </c>
      <c r="K1102" s="9">
        <v>282</v>
      </c>
      <c r="L1102" s="9">
        <v>2017</v>
      </c>
      <c r="M1102" s="8" t="s">
        <v>6062</v>
      </c>
      <c r="N1102" s="8" t="s">
        <v>40</v>
      </c>
      <c r="O1102" s="8" t="s">
        <v>41</v>
      </c>
      <c r="P1102" s="6" t="s">
        <v>42</v>
      </c>
      <c r="Q1102" s="8" t="s">
        <v>43</v>
      </c>
      <c r="R1102" s="10" t="s">
        <v>69</v>
      </c>
      <c r="S1102" s="11"/>
      <c r="T1102" s="6"/>
      <c r="U1102" s="28" t="str">
        <f>HYPERLINK("https://media.infra-m.ru/0851/0851217/cover/851217.jpg", "Обложка")</f>
        <v>Обложка</v>
      </c>
      <c r="V1102" s="28" t="str">
        <f>HYPERLINK("https://znanium.com/catalog/product/851217", "Ознакомиться")</f>
        <v>Ознакомиться</v>
      </c>
      <c r="W1102" s="8"/>
      <c r="X1102" s="6"/>
      <c r="Y1102" s="6"/>
      <c r="Z1102" s="6"/>
      <c r="AA1102" s="6" t="s">
        <v>298</v>
      </c>
    </row>
    <row r="1103" spans="1:27" s="4" customFormat="1" ht="51.95" customHeight="1">
      <c r="A1103" s="5">
        <v>0</v>
      </c>
      <c r="B1103" s="6" t="s">
        <v>6063</v>
      </c>
      <c r="C1103" s="7">
        <v>934.9</v>
      </c>
      <c r="D1103" s="8" t="s">
        <v>6064</v>
      </c>
      <c r="E1103" s="8" t="s">
        <v>6065</v>
      </c>
      <c r="F1103" s="8" t="s">
        <v>6066</v>
      </c>
      <c r="G1103" s="6" t="s">
        <v>51</v>
      </c>
      <c r="H1103" s="6" t="s">
        <v>38</v>
      </c>
      <c r="I1103" s="8"/>
      <c r="J1103" s="9">
        <v>1</v>
      </c>
      <c r="K1103" s="9">
        <v>208</v>
      </c>
      <c r="L1103" s="9">
        <v>2023</v>
      </c>
      <c r="M1103" s="8" t="s">
        <v>6067</v>
      </c>
      <c r="N1103" s="8" t="s">
        <v>40</v>
      </c>
      <c r="O1103" s="8" t="s">
        <v>41</v>
      </c>
      <c r="P1103" s="6" t="s">
        <v>4298</v>
      </c>
      <c r="Q1103" s="8" t="s">
        <v>43</v>
      </c>
      <c r="R1103" s="10" t="s">
        <v>6068</v>
      </c>
      <c r="S1103" s="11"/>
      <c r="T1103" s="6"/>
      <c r="U1103" s="28" t="str">
        <f>HYPERLINK("https://media.infra-m.ru/1907/1907163/cover/1907163.jpg", "Обложка")</f>
        <v>Обложка</v>
      </c>
      <c r="V1103" s="28" t="str">
        <f>HYPERLINK("https://znanium.com/catalog/product/1425538", "Ознакомиться")</f>
        <v>Ознакомиться</v>
      </c>
      <c r="W1103" s="8" t="s">
        <v>114</v>
      </c>
      <c r="X1103" s="6"/>
      <c r="Y1103" s="6"/>
      <c r="Z1103" s="6"/>
      <c r="AA1103" s="6" t="s">
        <v>298</v>
      </c>
    </row>
    <row r="1104" spans="1:27" s="4" customFormat="1" ht="51.95" customHeight="1">
      <c r="A1104" s="5">
        <v>0</v>
      </c>
      <c r="B1104" s="6" t="s">
        <v>6069</v>
      </c>
      <c r="C1104" s="13">
        <v>1080</v>
      </c>
      <c r="D1104" s="8" t="s">
        <v>6070</v>
      </c>
      <c r="E1104" s="8" t="s">
        <v>6071</v>
      </c>
      <c r="F1104" s="8" t="s">
        <v>1419</v>
      </c>
      <c r="G1104" s="6" t="s">
        <v>37</v>
      </c>
      <c r="H1104" s="6" t="s">
        <v>38</v>
      </c>
      <c r="I1104" s="8"/>
      <c r="J1104" s="9">
        <v>1</v>
      </c>
      <c r="K1104" s="9">
        <v>240</v>
      </c>
      <c r="L1104" s="9">
        <v>2023</v>
      </c>
      <c r="M1104" s="8" t="s">
        <v>6072</v>
      </c>
      <c r="N1104" s="8" t="s">
        <v>40</v>
      </c>
      <c r="O1104" s="8" t="s">
        <v>41</v>
      </c>
      <c r="P1104" s="6" t="s">
        <v>42</v>
      </c>
      <c r="Q1104" s="8" t="s">
        <v>43</v>
      </c>
      <c r="R1104" s="10" t="s">
        <v>452</v>
      </c>
      <c r="S1104" s="11"/>
      <c r="T1104" s="6"/>
      <c r="U1104" s="28" t="str">
        <f>HYPERLINK("https://media.infra-m.ru/1981/1981720/cover/1981720.jpg", "Обложка")</f>
        <v>Обложка</v>
      </c>
      <c r="V1104" s="28" t="str">
        <f>HYPERLINK("https://znanium.com/catalog/product/1981720", "Ознакомиться")</f>
        <v>Ознакомиться</v>
      </c>
      <c r="W1104" s="8" t="s">
        <v>114</v>
      </c>
      <c r="X1104" s="6"/>
      <c r="Y1104" s="6"/>
      <c r="Z1104" s="6"/>
      <c r="AA1104" s="6" t="s">
        <v>46</v>
      </c>
    </row>
    <row r="1105" spans="1:27" s="4" customFormat="1" ht="51.95" customHeight="1">
      <c r="A1105" s="5">
        <v>0</v>
      </c>
      <c r="B1105" s="6" t="s">
        <v>6073</v>
      </c>
      <c r="C1105" s="7">
        <v>970</v>
      </c>
      <c r="D1105" s="8" t="s">
        <v>6074</v>
      </c>
      <c r="E1105" s="8" t="s">
        <v>6071</v>
      </c>
      <c r="F1105" s="8" t="s">
        <v>6075</v>
      </c>
      <c r="G1105" s="6" t="s">
        <v>37</v>
      </c>
      <c r="H1105" s="6" t="s">
        <v>38</v>
      </c>
      <c r="I1105" s="8"/>
      <c r="J1105" s="9">
        <v>1</v>
      </c>
      <c r="K1105" s="9">
        <v>208</v>
      </c>
      <c r="L1105" s="9">
        <v>2023</v>
      </c>
      <c r="M1105" s="8" t="s">
        <v>6076</v>
      </c>
      <c r="N1105" s="8" t="s">
        <v>40</v>
      </c>
      <c r="O1105" s="8" t="s">
        <v>41</v>
      </c>
      <c r="P1105" s="6" t="s">
        <v>75</v>
      </c>
      <c r="Q1105" s="8" t="s">
        <v>76</v>
      </c>
      <c r="R1105" s="10" t="s">
        <v>3183</v>
      </c>
      <c r="S1105" s="11"/>
      <c r="T1105" s="6"/>
      <c r="U1105" s="28" t="str">
        <f>HYPERLINK("https://media.infra-m.ru/1962/1962516/cover/1962516.jpg", "Обложка")</f>
        <v>Обложка</v>
      </c>
      <c r="V1105" s="28" t="str">
        <f>HYPERLINK("https://znanium.com/catalog/product/1962516", "Ознакомиться")</f>
        <v>Ознакомиться</v>
      </c>
      <c r="W1105" s="8" t="s">
        <v>6077</v>
      </c>
      <c r="X1105" s="6"/>
      <c r="Y1105" s="6"/>
      <c r="Z1105" s="6"/>
      <c r="AA1105" s="6" t="s">
        <v>79</v>
      </c>
    </row>
    <row r="1106" spans="1:27" s="4" customFormat="1" ht="51.95" customHeight="1">
      <c r="A1106" s="5">
        <v>0</v>
      </c>
      <c r="B1106" s="6" t="s">
        <v>6078</v>
      </c>
      <c r="C1106" s="13">
        <v>1240</v>
      </c>
      <c r="D1106" s="8" t="s">
        <v>6079</v>
      </c>
      <c r="E1106" s="8" t="s">
        <v>6080</v>
      </c>
      <c r="F1106" s="8" t="s">
        <v>1779</v>
      </c>
      <c r="G1106" s="6" t="s">
        <v>37</v>
      </c>
      <c r="H1106" s="6" t="s">
        <v>38</v>
      </c>
      <c r="I1106" s="8"/>
      <c r="J1106" s="9">
        <v>1</v>
      </c>
      <c r="K1106" s="9">
        <v>272</v>
      </c>
      <c r="L1106" s="9">
        <v>2024</v>
      </c>
      <c r="M1106" s="8" t="s">
        <v>6081</v>
      </c>
      <c r="N1106" s="8" t="s">
        <v>40</v>
      </c>
      <c r="O1106" s="8" t="s">
        <v>41</v>
      </c>
      <c r="P1106" s="6" t="s">
        <v>75</v>
      </c>
      <c r="Q1106" s="8" t="s">
        <v>76</v>
      </c>
      <c r="R1106" s="10" t="s">
        <v>122</v>
      </c>
      <c r="S1106" s="11"/>
      <c r="T1106" s="6"/>
      <c r="U1106" s="28" t="str">
        <f>HYPERLINK("https://media.infra-m.ru/2081/2081650/cover/2081650.jpg", "Обложка")</f>
        <v>Обложка</v>
      </c>
      <c r="V1106" s="28" t="str">
        <f>HYPERLINK("https://znanium.com/catalog/product/2081650", "Ознакомиться")</f>
        <v>Ознакомиться</v>
      </c>
      <c r="W1106" s="8" t="s">
        <v>1356</v>
      </c>
      <c r="X1106" s="6"/>
      <c r="Y1106" s="6"/>
      <c r="Z1106" s="6"/>
      <c r="AA1106" s="6" t="s">
        <v>79</v>
      </c>
    </row>
    <row r="1107" spans="1:27" s="4" customFormat="1" ht="51.95" customHeight="1">
      <c r="A1107" s="5">
        <v>0</v>
      </c>
      <c r="B1107" s="6" t="s">
        <v>6082</v>
      </c>
      <c r="C1107" s="13">
        <v>1500</v>
      </c>
      <c r="D1107" s="8" t="s">
        <v>6083</v>
      </c>
      <c r="E1107" s="8" t="s">
        <v>6084</v>
      </c>
      <c r="F1107" s="8" t="s">
        <v>876</v>
      </c>
      <c r="G1107" s="6" t="s">
        <v>37</v>
      </c>
      <c r="H1107" s="6" t="s">
        <v>84</v>
      </c>
      <c r="I1107" s="8" t="s">
        <v>185</v>
      </c>
      <c r="J1107" s="9">
        <v>1</v>
      </c>
      <c r="K1107" s="9">
        <v>418</v>
      </c>
      <c r="L1107" s="9">
        <v>2021</v>
      </c>
      <c r="M1107" s="8" t="s">
        <v>6085</v>
      </c>
      <c r="N1107" s="8" t="s">
        <v>40</v>
      </c>
      <c r="O1107" s="8" t="s">
        <v>41</v>
      </c>
      <c r="P1107" s="6" t="s">
        <v>95</v>
      </c>
      <c r="Q1107" s="8" t="s">
        <v>76</v>
      </c>
      <c r="R1107" s="10" t="s">
        <v>1804</v>
      </c>
      <c r="S1107" s="11" t="s">
        <v>6086</v>
      </c>
      <c r="T1107" s="6"/>
      <c r="U1107" s="28" t="str">
        <f>HYPERLINK("https://media.infra-m.ru/1217/1217734/cover/1217734.jpg", "Обложка")</f>
        <v>Обложка</v>
      </c>
      <c r="V1107" s="28" t="str">
        <f>HYPERLINK("https://znanium.com/catalog/product/1217734", "Ознакомиться")</f>
        <v>Ознакомиться</v>
      </c>
      <c r="W1107" s="8" t="s">
        <v>503</v>
      </c>
      <c r="X1107" s="6"/>
      <c r="Y1107" s="6"/>
      <c r="Z1107" s="6"/>
      <c r="AA1107" s="6" t="s">
        <v>739</v>
      </c>
    </row>
    <row r="1108" spans="1:27" s="4" customFormat="1" ht="51.95" customHeight="1">
      <c r="A1108" s="5">
        <v>0</v>
      </c>
      <c r="B1108" s="6" t="s">
        <v>6087</v>
      </c>
      <c r="C1108" s="13">
        <v>1094.9000000000001</v>
      </c>
      <c r="D1108" s="8" t="s">
        <v>6088</v>
      </c>
      <c r="E1108" s="8" t="s">
        <v>6089</v>
      </c>
      <c r="F1108" s="8" t="s">
        <v>876</v>
      </c>
      <c r="G1108" s="6" t="s">
        <v>58</v>
      </c>
      <c r="H1108" s="6" t="s">
        <v>84</v>
      </c>
      <c r="I1108" s="8" t="s">
        <v>185</v>
      </c>
      <c r="J1108" s="9">
        <v>1</v>
      </c>
      <c r="K1108" s="9">
        <v>376</v>
      </c>
      <c r="L1108" s="9">
        <v>2018</v>
      </c>
      <c r="M1108" s="8" t="s">
        <v>6090</v>
      </c>
      <c r="N1108" s="8" t="s">
        <v>40</v>
      </c>
      <c r="O1108" s="8" t="s">
        <v>41</v>
      </c>
      <c r="P1108" s="6" t="s">
        <v>95</v>
      </c>
      <c r="Q1108" s="8" t="s">
        <v>76</v>
      </c>
      <c r="R1108" s="10" t="s">
        <v>1804</v>
      </c>
      <c r="S1108" s="11" t="s">
        <v>1805</v>
      </c>
      <c r="T1108" s="6"/>
      <c r="U1108" s="28" t="str">
        <f>HYPERLINK("https://media.infra-m.ru/0926/0926864/cover/926864.jpg", "Обложка")</f>
        <v>Обложка</v>
      </c>
      <c r="V1108" s="28" t="str">
        <f>HYPERLINK("https://znanium.com/catalog/product/1217734", "Ознакомиться")</f>
        <v>Ознакомиться</v>
      </c>
      <c r="W1108" s="8" t="s">
        <v>503</v>
      </c>
      <c r="X1108" s="6"/>
      <c r="Y1108" s="6"/>
      <c r="Z1108" s="6"/>
      <c r="AA1108" s="6" t="s">
        <v>88</v>
      </c>
    </row>
    <row r="1109" spans="1:27" s="4" customFormat="1" ht="42" customHeight="1">
      <c r="A1109" s="5">
        <v>0</v>
      </c>
      <c r="B1109" s="6" t="s">
        <v>6091</v>
      </c>
      <c r="C1109" s="7">
        <v>770</v>
      </c>
      <c r="D1109" s="8" t="s">
        <v>6092</v>
      </c>
      <c r="E1109" s="8" t="s">
        <v>6093</v>
      </c>
      <c r="F1109" s="8" t="s">
        <v>6094</v>
      </c>
      <c r="G1109" s="6" t="s">
        <v>37</v>
      </c>
      <c r="H1109" s="6" t="s">
        <v>38</v>
      </c>
      <c r="I1109" s="8"/>
      <c r="J1109" s="9">
        <v>1</v>
      </c>
      <c r="K1109" s="9">
        <v>184</v>
      </c>
      <c r="L1109" s="9">
        <v>2022</v>
      </c>
      <c r="M1109" s="8" t="s">
        <v>6095</v>
      </c>
      <c r="N1109" s="8" t="s">
        <v>40</v>
      </c>
      <c r="O1109" s="8" t="s">
        <v>41</v>
      </c>
      <c r="P1109" s="6" t="s">
        <v>42</v>
      </c>
      <c r="Q1109" s="8" t="s">
        <v>43</v>
      </c>
      <c r="R1109" s="10" t="s">
        <v>1339</v>
      </c>
      <c r="S1109" s="11"/>
      <c r="T1109" s="6"/>
      <c r="U1109" s="28" t="str">
        <f>HYPERLINK("https://media.infra-m.ru/1875/1875303/cover/1875303.jpg", "Обложка")</f>
        <v>Обложка</v>
      </c>
      <c r="V1109" s="28" t="str">
        <f>HYPERLINK("https://znanium.com/catalog/product/1860816", "Ознакомиться")</f>
        <v>Ознакомиться</v>
      </c>
      <c r="W1109" s="8" t="s">
        <v>45</v>
      </c>
      <c r="X1109" s="6"/>
      <c r="Y1109" s="6"/>
      <c r="Z1109" s="6"/>
      <c r="AA1109" s="6" t="s">
        <v>62</v>
      </c>
    </row>
    <row r="1110" spans="1:27" s="4" customFormat="1" ht="51.95" customHeight="1">
      <c r="A1110" s="5">
        <v>0</v>
      </c>
      <c r="B1110" s="6" t="s">
        <v>6096</v>
      </c>
      <c r="C1110" s="7">
        <v>504.9</v>
      </c>
      <c r="D1110" s="8" t="s">
        <v>6097</v>
      </c>
      <c r="E1110" s="8" t="s">
        <v>6098</v>
      </c>
      <c r="F1110" s="8" t="s">
        <v>6099</v>
      </c>
      <c r="G1110" s="6" t="s">
        <v>51</v>
      </c>
      <c r="H1110" s="6" t="s">
        <v>38</v>
      </c>
      <c r="I1110" s="8"/>
      <c r="J1110" s="9">
        <v>1</v>
      </c>
      <c r="K1110" s="9">
        <v>112</v>
      </c>
      <c r="L1110" s="9">
        <v>2023</v>
      </c>
      <c r="M1110" s="8" t="s">
        <v>6100</v>
      </c>
      <c r="N1110" s="8" t="s">
        <v>40</v>
      </c>
      <c r="O1110" s="8" t="s">
        <v>41</v>
      </c>
      <c r="P1110" s="6" t="s">
        <v>42</v>
      </c>
      <c r="Q1110" s="8" t="s">
        <v>43</v>
      </c>
      <c r="R1110" s="10" t="s">
        <v>6101</v>
      </c>
      <c r="S1110" s="11"/>
      <c r="T1110" s="6"/>
      <c r="U1110" s="28" t="str">
        <f>HYPERLINK("https://media.infra-m.ru/1979/1979998/cover/1979998.jpg", "Обложка")</f>
        <v>Обложка</v>
      </c>
      <c r="V1110" s="28" t="str">
        <f>HYPERLINK("https://znanium.com/catalog/product/1846282", "Ознакомиться")</f>
        <v>Ознакомиться</v>
      </c>
      <c r="W1110" s="8" t="s">
        <v>1368</v>
      </c>
      <c r="X1110" s="6"/>
      <c r="Y1110" s="6"/>
      <c r="Z1110" s="6"/>
      <c r="AA1110" s="6" t="s">
        <v>298</v>
      </c>
    </row>
    <row r="1111" spans="1:27" s="4" customFormat="1" ht="42" customHeight="1">
      <c r="A1111" s="5">
        <v>0</v>
      </c>
      <c r="B1111" s="6" t="s">
        <v>6102</v>
      </c>
      <c r="C1111" s="13">
        <v>1474</v>
      </c>
      <c r="D1111" s="8" t="s">
        <v>6103</v>
      </c>
      <c r="E1111" s="8" t="s">
        <v>6104</v>
      </c>
      <c r="F1111" s="8" t="s">
        <v>3487</v>
      </c>
      <c r="G1111" s="6" t="s">
        <v>58</v>
      </c>
      <c r="H1111" s="6" t="s">
        <v>38</v>
      </c>
      <c r="I1111" s="8"/>
      <c r="J1111" s="9">
        <v>1</v>
      </c>
      <c r="K1111" s="9">
        <v>320</v>
      </c>
      <c r="L1111" s="9">
        <v>2023</v>
      </c>
      <c r="M1111" s="8" t="s">
        <v>6105</v>
      </c>
      <c r="N1111" s="8" t="s">
        <v>40</v>
      </c>
      <c r="O1111" s="8" t="s">
        <v>41</v>
      </c>
      <c r="P1111" s="6" t="s">
        <v>42</v>
      </c>
      <c r="Q1111" s="8" t="s">
        <v>43</v>
      </c>
      <c r="R1111" s="10" t="s">
        <v>310</v>
      </c>
      <c r="S1111" s="11"/>
      <c r="T1111" s="6"/>
      <c r="U1111" s="28" t="str">
        <f>HYPERLINK("https://media.infra-m.ru/2050/2050523/cover/2050523.jpg", "Обложка")</f>
        <v>Обложка</v>
      </c>
      <c r="V1111" s="28" t="str">
        <f>HYPERLINK("https://znanium.com/catalog/product/1240965", "Ознакомиться")</f>
        <v>Ознакомиться</v>
      </c>
      <c r="W1111" s="8" t="s">
        <v>712</v>
      </c>
      <c r="X1111" s="6"/>
      <c r="Y1111" s="6"/>
      <c r="Z1111" s="6"/>
      <c r="AA1111" s="6" t="s">
        <v>289</v>
      </c>
    </row>
    <row r="1112" spans="1:27" s="4" customFormat="1" ht="42" customHeight="1">
      <c r="A1112" s="5">
        <v>0</v>
      </c>
      <c r="B1112" s="6" t="s">
        <v>6106</v>
      </c>
      <c r="C1112" s="13">
        <v>1010</v>
      </c>
      <c r="D1112" s="8" t="s">
        <v>6107</v>
      </c>
      <c r="E1112" s="8" t="s">
        <v>6108</v>
      </c>
      <c r="F1112" s="8" t="s">
        <v>6109</v>
      </c>
      <c r="G1112" s="6" t="s">
        <v>37</v>
      </c>
      <c r="H1112" s="6" t="s">
        <v>38</v>
      </c>
      <c r="I1112" s="8"/>
      <c r="J1112" s="9">
        <v>1</v>
      </c>
      <c r="K1112" s="9">
        <v>224</v>
      </c>
      <c r="L1112" s="9">
        <v>2023</v>
      </c>
      <c r="M1112" s="8" t="s">
        <v>6110</v>
      </c>
      <c r="N1112" s="8" t="s">
        <v>40</v>
      </c>
      <c r="O1112" s="8" t="s">
        <v>41</v>
      </c>
      <c r="P1112" s="6" t="s">
        <v>42</v>
      </c>
      <c r="Q1112" s="8" t="s">
        <v>43</v>
      </c>
      <c r="R1112" s="10" t="s">
        <v>69</v>
      </c>
      <c r="S1112" s="11"/>
      <c r="T1112" s="6"/>
      <c r="U1112" s="28" t="str">
        <f>HYPERLINK("https://media.infra-m.ru/1880/1880883/cover/1880883.jpg", "Обложка")</f>
        <v>Обложка</v>
      </c>
      <c r="V1112" s="28" t="str">
        <f>HYPERLINK("https://znanium.com/catalog/product/1880883", "Ознакомиться")</f>
        <v>Ознакомиться</v>
      </c>
      <c r="W1112" s="8" t="s">
        <v>45</v>
      </c>
      <c r="X1112" s="6"/>
      <c r="Y1112" s="6"/>
      <c r="Z1112" s="6"/>
      <c r="AA1112" s="6" t="s">
        <v>115</v>
      </c>
    </row>
    <row r="1113" spans="1:27" s="4" customFormat="1" ht="42" customHeight="1">
      <c r="A1113" s="5">
        <v>0</v>
      </c>
      <c r="B1113" s="6" t="s">
        <v>6111</v>
      </c>
      <c r="C1113" s="13">
        <v>1390</v>
      </c>
      <c r="D1113" s="8" t="s">
        <v>6112</v>
      </c>
      <c r="E1113" s="8" t="s">
        <v>6113</v>
      </c>
      <c r="F1113" s="8" t="s">
        <v>6114</v>
      </c>
      <c r="G1113" s="6" t="s">
        <v>37</v>
      </c>
      <c r="H1113" s="6" t="s">
        <v>38</v>
      </c>
      <c r="I1113" s="8"/>
      <c r="J1113" s="9">
        <v>1</v>
      </c>
      <c r="K1113" s="9">
        <v>288</v>
      </c>
      <c r="L1113" s="9">
        <v>2023</v>
      </c>
      <c r="M1113" s="8" t="s">
        <v>6115</v>
      </c>
      <c r="N1113" s="8" t="s">
        <v>40</v>
      </c>
      <c r="O1113" s="8" t="s">
        <v>41</v>
      </c>
      <c r="P1113" s="6" t="s">
        <v>42</v>
      </c>
      <c r="Q1113" s="8" t="s">
        <v>43</v>
      </c>
      <c r="R1113" s="10" t="s">
        <v>69</v>
      </c>
      <c r="S1113" s="11"/>
      <c r="T1113" s="6"/>
      <c r="U1113" s="28" t="str">
        <f>HYPERLINK("https://media.infra-m.ru/1920/1920523/cover/1920523.jpg", "Обложка")</f>
        <v>Обложка</v>
      </c>
      <c r="V1113" s="28" t="str">
        <f>HYPERLINK("https://znanium.com/catalog/product/1920523", "Ознакомиться")</f>
        <v>Ознакомиться</v>
      </c>
      <c r="W1113" s="8" t="s">
        <v>535</v>
      </c>
      <c r="X1113" s="6"/>
      <c r="Y1113" s="6"/>
      <c r="Z1113" s="6"/>
      <c r="AA1113" s="6" t="s">
        <v>343</v>
      </c>
    </row>
    <row r="1114" spans="1:27" s="4" customFormat="1" ht="51.95" customHeight="1">
      <c r="A1114" s="5">
        <v>0</v>
      </c>
      <c r="B1114" s="6" t="s">
        <v>6116</v>
      </c>
      <c r="C1114" s="13">
        <v>1950</v>
      </c>
      <c r="D1114" s="8" t="s">
        <v>6117</v>
      </c>
      <c r="E1114" s="8" t="s">
        <v>6118</v>
      </c>
      <c r="F1114" s="8" t="s">
        <v>6119</v>
      </c>
      <c r="G1114" s="6" t="s">
        <v>37</v>
      </c>
      <c r="H1114" s="6" t="s">
        <v>38</v>
      </c>
      <c r="I1114" s="8"/>
      <c r="J1114" s="9">
        <v>1</v>
      </c>
      <c r="K1114" s="9">
        <v>432</v>
      </c>
      <c r="L1114" s="9">
        <v>2023</v>
      </c>
      <c r="M1114" s="8" t="s">
        <v>6120</v>
      </c>
      <c r="N1114" s="8" t="s">
        <v>40</v>
      </c>
      <c r="O1114" s="8" t="s">
        <v>41</v>
      </c>
      <c r="P1114" s="6" t="s">
        <v>42</v>
      </c>
      <c r="Q1114" s="8" t="s">
        <v>43</v>
      </c>
      <c r="R1114" s="10" t="s">
        <v>6121</v>
      </c>
      <c r="S1114" s="11"/>
      <c r="T1114" s="6"/>
      <c r="U1114" s="28" t="str">
        <f>HYPERLINK("https://media.infra-m.ru/1923/1923122/cover/1923122.jpg", "Обложка")</f>
        <v>Обложка</v>
      </c>
      <c r="V1114" s="28" t="str">
        <f>HYPERLINK("https://znanium.com/catalog/product/1923122", "Ознакомиться")</f>
        <v>Ознакомиться</v>
      </c>
      <c r="W1114" s="8" t="s">
        <v>45</v>
      </c>
      <c r="X1114" s="6"/>
      <c r="Y1114" s="6"/>
      <c r="Z1114" s="6"/>
      <c r="AA1114" s="6" t="s">
        <v>343</v>
      </c>
    </row>
    <row r="1115" spans="1:27" s="4" customFormat="1" ht="51.95" customHeight="1">
      <c r="A1115" s="5">
        <v>0</v>
      </c>
      <c r="B1115" s="6" t="s">
        <v>6122</v>
      </c>
      <c r="C1115" s="7">
        <v>570</v>
      </c>
      <c r="D1115" s="8" t="s">
        <v>6123</v>
      </c>
      <c r="E1115" s="8" t="s">
        <v>6124</v>
      </c>
      <c r="F1115" s="8" t="s">
        <v>6125</v>
      </c>
      <c r="G1115" s="6" t="s">
        <v>37</v>
      </c>
      <c r="H1115" s="6" t="s">
        <v>38</v>
      </c>
      <c r="I1115" s="8"/>
      <c r="J1115" s="9">
        <v>1</v>
      </c>
      <c r="K1115" s="9">
        <v>144</v>
      </c>
      <c r="L1115" s="9">
        <v>2022</v>
      </c>
      <c r="M1115" s="8" t="s">
        <v>6126</v>
      </c>
      <c r="N1115" s="8" t="s">
        <v>40</v>
      </c>
      <c r="O1115" s="8" t="s">
        <v>41</v>
      </c>
      <c r="P1115" s="6" t="s">
        <v>42</v>
      </c>
      <c r="Q1115" s="8" t="s">
        <v>43</v>
      </c>
      <c r="R1115" s="10" t="s">
        <v>3810</v>
      </c>
      <c r="S1115" s="11"/>
      <c r="T1115" s="6"/>
      <c r="U1115" s="28" t="str">
        <f>HYPERLINK("https://media.infra-m.ru/1858/1858966/cover/1858966.jpg", "Обложка")</f>
        <v>Обложка</v>
      </c>
      <c r="V1115" s="28" t="str">
        <f>HYPERLINK("https://znanium.com/catalog/product/1858966", "Ознакомиться")</f>
        <v>Ознакомиться</v>
      </c>
      <c r="W1115" s="8" t="s">
        <v>78</v>
      </c>
      <c r="X1115" s="6"/>
      <c r="Y1115" s="6"/>
      <c r="Z1115" s="6"/>
      <c r="AA1115" s="6" t="s">
        <v>311</v>
      </c>
    </row>
    <row r="1116" spans="1:27" s="4" customFormat="1" ht="51.95" customHeight="1">
      <c r="A1116" s="5">
        <v>0</v>
      </c>
      <c r="B1116" s="6" t="s">
        <v>6127</v>
      </c>
      <c r="C1116" s="13">
        <v>1394</v>
      </c>
      <c r="D1116" s="8" t="s">
        <v>6128</v>
      </c>
      <c r="E1116" s="8" t="s">
        <v>6129</v>
      </c>
      <c r="F1116" s="8" t="s">
        <v>6130</v>
      </c>
      <c r="G1116" s="6" t="s">
        <v>58</v>
      </c>
      <c r="H1116" s="6" t="s">
        <v>38</v>
      </c>
      <c r="I1116" s="8"/>
      <c r="J1116" s="9">
        <v>1</v>
      </c>
      <c r="K1116" s="9">
        <v>304</v>
      </c>
      <c r="L1116" s="9">
        <v>2024</v>
      </c>
      <c r="M1116" s="8" t="s">
        <v>6131</v>
      </c>
      <c r="N1116" s="8" t="s">
        <v>40</v>
      </c>
      <c r="O1116" s="8" t="s">
        <v>41</v>
      </c>
      <c r="P1116" s="6" t="s">
        <v>42</v>
      </c>
      <c r="Q1116" s="8" t="s">
        <v>43</v>
      </c>
      <c r="R1116" s="10" t="s">
        <v>6132</v>
      </c>
      <c r="S1116" s="11"/>
      <c r="T1116" s="6"/>
      <c r="U1116" s="28" t="str">
        <f>HYPERLINK("https://media.infra-m.ru/2044/2044345/cover/2044345.jpg", "Обложка")</f>
        <v>Обложка</v>
      </c>
      <c r="V1116" s="28" t="str">
        <f>HYPERLINK("https://znanium.com/catalog/product/1081878", "Ознакомиться")</f>
        <v>Ознакомиться</v>
      </c>
      <c r="W1116" s="8" t="s">
        <v>712</v>
      </c>
      <c r="X1116" s="6"/>
      <c r="Y1116" s="6"/>
      <c r="Z1116" s="6"/>
      <c r="AA1116" s="6" t="s">
        <v>415</v>
      </c>
    </row>
    <row r="1117" spans="1:27" s="4" customFormat="1" ht="51.95" customHeight="1">
      <c r="A1117" s="5">
        <v>0</v>
      </c>
      <c r="B1117" s="6" t="s">
        <v>6133</v>
      </c>
      <c r="C1117" s="13">
        <v>1694</v>
      </c>
      <c r="D1117" s="8" t="s">
        <v>6134</v>
      </c>
      <c r="E1117" s="8" t="s">
        <v>6135</v>
      </c>
      <c r="F1117" s="8" t="s">
        <v>6136</v>
      </c>
      <c r="G1117" s="6" t="s">
        <v>37</v>
      </c>
      <c r="H1117" s="6" t="s">
        <v>400</v>
      </c>
      <c r="I1117" s="8"/>
      <c r="J1117" s="9">
        <v>1</v>
      </c>
      <c r="K1117" s="9">
        <v>368</v>
      </c>
      <c r="L1117" s="9">
        <v>2024</v>
      </c>
      <c r="M1117" s="8" t="s">
        <v>6137</v>
      </c>
      <c r="N1117" s="8" t="s">
        <v>40</v>
      </c>
      <c r="O1117" s="8" t="s">
        <v>41</v>
      </c>
      <c r="P1117" s="6" t="s">
        <v>141</v>
      </c>
      <c r="Q1117" s="8" t="s">
        <v>157</v>
      </c>
      <c r="R1117" s="10" t="s">
        <v>1900</v>
      </c>
      <c r="S1117" s="11"/>
      <c r="T1117" s="6"/>
      <c r="U1117" s="28" t="str">
        <f>HYPERLINK("https://media.infra-m.ru/2091/2091907/cover/2091907.jpg", "Обложка")</f>
        <v>Обложка</v>
      </c>
      <c r="V1117" s="28" t="str">
        <f>HYPERLINK("https://znanium.com/catalog/product/1860210", "Ознакомиться")</f>
        <v>Ознакомиться</v>
      </c>
      <c r="W1117" s="8" t="s">
        <v>414</v>
      </c>
      <c r="X1117" s="6"/>
      <c r="Y1117" s="6"/>
      <c r="Z1117" s="6"/>
      <c r="AA1117" s="6" t="s">
        <v>88</v>
      </c>
    </row>
    <row r="1118" spans="1:27" s="4" customFormat="1" ht="42" customHeight="1">
      <c r="A1118" s="5">
        <v>0</v>
      </c>
      <c r="B1118" s="6" t="s">
        <v>6138</v>
      </c>
      <c r="C1118" s="7">
        <v>840</v>
      </c>
      <c r="D1118" s="8" t="s">
        <v>6139</v>
      </c>
      <c r="E1118" s="8" t="s">
        <v>6140</v>
      </c>
      <c r="F1118" s="8" t="s">
        <v>2332</v>
      </c>
      <c r="G1118" s="6" t="s">
        <v>37</v>
      </c>
      <c r="H1118" s="6" t="s">
        <v>38</v>
      </c>
      <c r="I1118" s="8"/>
      <c r="J1118" s="9">
        <v>1</v>
      </c>
      <c r="K1118" s="9">
        <v>152</v>
      </c>
      <c r="L1118" s="9">
        <v>2023</v>
      </c>
      <c r="M1118" s="8" t="s">
        <v>6141</v>
      </c>
      <c r="N1118" s="8" t="s">
        <v>40</v>
      </c>
      <c r="O1118" s="8" t="s">
        <v>41</v>
      </c>
      <c r="P1118" s="6" t="s">
        <v>42</v>
      </c>
      <c r="Q1118" s="8" t="s">
        <v>43</v>
      </c>
      <c r="R1118" s="10" t="s">
        <v>69</v>
      </c>
      <c r="S1118" s="11"/>
      <c r="T1118" s="6"/>
      <c r="U1118" s="28" t="str">
        <f>HYPERLINK("https://media.infra-m.ru/1984/1984939/cover/1984939.jpg", "Обложка")</f>
        <v>Обложка</v>
      </c>
      <c r="V1118" s="28" t="str">
        <f>HYPERLINK("https://znanium.com/catalog/product/1984939", "Ознакомиться")</f>
        <v>Ознакомиться</v>
      </c>
      <c r="W1118" s="8" t="s">
        <v>535</v>
      </c>
      <c r="X1118" s="6"/>
      <c r="Y1118" s="6"/>
      <c r="Z1118" s="6"/>
      <c r="AA1118" s="6" t="s">
        <v>343</v>
      </c>
    </row>
    <row r="1119" spans="1:27" s="4" customFormat="1" ht="51.95" customHeight="1">
      <c r="A1119" s="5">
        <v>0</v>
      </c>
      <c r="B1119" s="6" t="s">
        <v>6142</v>
      </c>
      <c r="C1119" s="13">
        <v>1899.9</v>
      </c>
      <c r="D1119" s="8" t="s">
        <v>6143</v>
      </c>
      <c r="E1119" s="8" t="s">
        <v>6144</v>
      </c>
      <c r="F1119" s="8" t="s">
        <v>6145</v>
      </c>
      <c r="G1119" s="6" t="s">
        <v>58</v>
      </c>
      <c r="H1119" s="6" t="s">
        <v>84</v>
      </c>
      <c r="I1119" s="8" t="s">
        <v>251</v>
      </c>
      <c r="J1119" s="9">
        <v>1</v>
      </c>
      <c r="K1119" s="9">
        <v>220</v>
      </c>
      <c r="L1119" s="9">
        <v>2023</v>
      </c>
      <c r="M1119" s="8" t="s">
        <v>6146</v>
      </c>
      <c r="N1119" s="8" t="s">
        <v>40</v>
      </c>
      <c r="O1119" s="8" t="s">
        <v>41</v>
      </c>
      <c r="P1119" s="6" t="s">
        <v>42</v>
      </c>
      <c r="Q1119" s="8" t="s">
        <v>43</v>
      </c>
      <c r="R1119" s="10" t="s">
        <v>6147</v>
      </c>
      <c r="S1119" s="11"/>
      <c r="T1119" s="6"/>
      <c r="U1119" s="28" t="str">
        <f>HYPERLINK("https://media.infra-m.ru/1873/1873043/cover/1873043.jpg", "Обложка")</f>
        <v>Обложка</v>
      </c>
      <c r="V1119" s="28" t="str">
        <f>HYPERLINK("https://znanium.com/catalog/product/1873043", "Ознакомиться")</f>
        <v>Ознакомиться</v>
      </c>
      <c r="W1119" s="8" t="s">
        <v>813</v>
      </c>
      <c r="X1119" s="6"/>
      <c r="Y1119" s="6"/>
      <c r="Z1119" s="6"/>
      <c r="AA1119" s="6" t="s">
        <v>408</v>
      </c>
    </row>
    <row r="1120" spans="1:27" s="4" customFormat="1" ht="42" customHeight="1">
      <c r="A1120" s="5">
        <v>0</v>
      </c>
      <c r="B1120" s="6" t="s">
        <v>6148</v>
      </c>
      <c r="C1120" s="7">
        <v>420</v>
      </c>
      <c r="D1120" s="8" t="s">
        <v>6149</v>
      </c>
      <c r="E1120" s="8" t="s">
        <v>6150</v>
      </c>
      <c r="F1120" s="8" t="s">
        <v>6151</v>
      </c>
      <c r="G1120" s="6" t="s">
        <v>51</v>
      </c>
      <c r="H1120" s="6" t="s">
        <v>84</v>
      </c>
      <c r="I1120" s="8" t="s">
        <v>251</v>
      </c>
      <c r="J1120" s="9">
        <v>1</v>
      </c>
      <c r="K1120" s="9">
        <v>140</v>
      </c>
      <c r="L1120" s="9">
        <v>2019</v>
      </c>
      <c r="M1120" s="8" t="s">
        <v>6152</v>
      </c>
      <c r="N1120" s="8" t="s">
        <v>40</v>
      </c>
      <c r="O1120" s="8" t="s">
        <v>41</v>
      </c>
      <c r="P1120" s="6" t="s">
        <v>295</v>
      </c>
      <c r="Q1120" s="8" t="s">
        <v>43</v>
      </c>
      <c r="R1120" s="10" t="s">
        <v>340</v>
      </c>
      <c r="S1120" s="11"/>
      <c r="T1120" s="6"/>
      <c r="U1120" s="28" t="str">
        <f>HYPERLINK("https://media.infra-m.ru/0989/0989975/cover/989975.jpg", "Обложка")</f>
        <v>Обложка</v>
      </c>
      <c r="V1120" s="28" t="str">
        <f>HYPERLINK("https://znanium.com/catalog/product/989975", "Ознакомиться")</f>
        <v>Ознакомиться</v>
      </c>
      <c r="W1120" s="8" t="s">
        <v>237</v>
      </c>
      <c r="X1120" s="6"/>
      <c r="Y1120" s="6"/>
      <c r="Z1120" s="6"/>
      <c r="AA1120" s="6" t="s">
        <v>46</v>
      </c>
    </row>
    <row r="1121" spans="1:27" s="4" customFormat="1" ht="42" customHeight="1">
      <c r="A1121" s="5">
        <v>0</v>
      </c>
      <c r="B1121" s="6" t="s">
        <v>6153</v>
      </c>
      <c r="C1121" s="7">
        <v>564.9</v>
      </c>
      <c r="D1121" s="8" t="s">
        <v>6154</v>
      </c>
      <c r="E1121" s="8" t="s">
        <v>6155</v>
      </c>
      <c r="F1121" s="8" t="s">
        <v>6156</v>
      </c>
      <c r="G1121" s="6" t="s">
        <v>51</v>
      </c>
      <c r="H1121" s="6" t="s">
        <v>52</v>
      </c>
      <c r="I1121" s="8" t="s">
        <v>251</v>
      </c>
      <c r="J1121" s="9">
        <v>1</v>
      </c>
      <c r="K1121" s="9">
        <v>181</v>
      </c>
      <c r="L1121" s="9">
        <v>2018</v>
      </c>
      <c r="M1121" s="8" t="s">
        <v>6157</v>
      </c>
      <c r="N1121" s="8" t="s">
        <v>40</v>
      </c>
      <c r="O1121" s="8" t="s">
        <v>41</v>
      </c>
      <c r="P1121" s="6" t="s">
        <v>42</v>
      </c>
      <c r="Q1121" s="8" t="s">
        <v>43</v>
      </c>
      <c r="R1121" s="10" t="s">
        <v>304</v>
      </c>
      <c r="S1121" s="11"/>
      <c r="T1121" s="6"/>
      <c r="U1121" s="28" t="str">
        <f>HYPERLINK("https://media.infra-m.ru/0935/0935383/cover/935383.jpg", "Обложка")</f>
        <v>Обложка</v>
      </c>
      <c r="V1121" s="28" t="str">
        <f>HYPERLINK("https://znanium.com/catalog/product/935383", "Ознакомиться")</f>
        <v>Ознакомиться</v>
      </c>
      <c r="W1121" s="8" t="s">
        <v>813</v>
      </c>
      <c r="X1121" s="6"/>
      <c r="Y1121" s="6"/>
      <c r="Z1121" s="6"/>
      <c r="AA1121" s="6" t="s">
        <v>622</v>
      </c>
    </row>
    <row r="1122" spans="1:27" s="4" customFormat="1" ht="42" customHeight="1">
      <c r="A1122" s="5">
        <v>0</v>
      </c>
      <c r="B1122" s="6" t="s">
        <v>6158</v>
      </c>
      <c r="C1122" s="7">
        <v>850</v>
      </c>
      <c r="D1122" s="8" t="s">
        <v>6159</v>
      </c>
      <c r="E1122" s="8" t="s">
        <v>6160</v>
      </c>
      <c r="F1122" s="8" t="s">
        <v>6161</v>
      </c>
      <c r="G1122" s="6" t="s">
        <v>37</v>
      </c>
      <c r="H1122" s="6" t="s">
        <v>38</v>
      </c>
      <c r="I1122" s="8"/>
      <c r="J1122" s="9">
        <v>1</v>
      </c>
      <c r="K1122" s="9">
        <v>184</v>
      </c>
      <c r="L1122" s="9">
        <v>2024</v>
      </c>
      <c r="M1122" s="8" t="s">
        <v>6162</v>
      </c>
      <c r="N1122" s="8" t="s">
        <v>40</v>
      </c>
      <c r="O1122" s="8" t="s">
        <v>41</v>
      </c>
      <c r="P1122" s="6" t="s">
        <v>811</v>
      </c>
      <c r="Q1122" s="8" t="s">
        <v>43</v>
      </c>
      <c r="R1122" s="10" t="s">
        <v>69</v>
      </c>
      <c r="S1122" s="11"/>
      <c r="T1122" s="6"/>
      <c r="U1122" s="28" t="str">
        <f>HYPERLINK("https://media.infra-m.ru/2098/2098500/cover/2098500.jpg", "Обложка")</f>
        <v>Обложка</v>
      </c>
      <c r="V1122" s="28" t="str">
        <f>HYPERLINK("https://znanium.com/catalog/product/2098500", "Ознакомиться")</f>
        <v>Ознакомиться</v>
      </c>
      <c r="W1122" s="8" t="s">
        <v>45</v>
      </c>
      <c r="X1122" s="6"/>
      <c r="Y1122" s="6"/>
      <c r="Z1122" s="6"/>
      <c r="AA1122" s="6" t="s">
        <v>115</v>
      </c>
    </row>
    <row r="1123" spans="1:27" s="4" customFormat="1" ht="33" customHeight="1">
      <c r="A1123" s="5">
        <v>0</v>
      </c>
      <c r="B1123" s="6" t="s">
        <v>6163</v>
      </c>
      <c r="C1123" s="7">
        <v>549.9</v>
      </c>
      <c r="D1123" s="8" t="s">
        <v>6164</v>
      </c>
      <c r="E1123" s="8" t="s">
        <v>6165</v>
      </c>
      <c r="F1123" s="8" t="s">
        <v>57</v>
      </c>
      <c r="G1123" s="6" t="s">
        <v>58</v>
      </c>
      <c r="H1123" s="6" t="s">
        <v>38</v>
      </c>
      <c r="I1123" s="8"/>
      <c r="J1123" s="9">
        <v>1</v>
      </c>
      <c r="K1123" s="9">
        <v>480</v>
      </c>
      <c r="L1123" s="9">
        <v>2016</v>
      </c>
      <c r="M1123" s="8" t="s">
        <v>6166</v>
      </c>
      <c r="N1123" s="8" t="s">
        <v>40</v>
      </c>
      <c r="O1123" s="8" t="s">
        <v>41</v>
      </c>
      <c r="P1123" s="6" t="s">
        <v>6167</v>
      </c>
      <c r="Q1123" s="8" t="s">
        <v>43</v>
      </c>
      <c r="R1123" s="10"/>
      <c r="S1123" s="11"/>
      <c r="T1123" s="6"/>
      <c r="U1123" s="12"/>
      <c r="V1123" s="12"/>
      <c r="W1123" s="8" t="s">
        <v>61</v>
      </c>
      <c r="X1123" s="6"/>
      <c r="Y1123" s="6"/>
      <c r="Z1123" s="6"/>
      <c r="AA1123" s="6" t="s">
        <v>422</v>
      </c>
    </row>
    <row r="1124" spans="1:27" s="4" customFormat="1" ht="42" customHeight="1">
      <c r="A1124" s="5">
        <v>0</v>
      </c>
      <c r="B1124" s="6" t="s">
        <v>6168</v>
      </c>
      <c r="C1124" s="13">
        <v>1170</v>
      </c>
      <c r="D1124" s="8" t="s">
        <v>6169</v>
      </c>
      <c r="E1124" s="8" t="s">
        <v>6170</v>
      </c>
      <c r="F1124" s="8" t="s">
        <v>6171</v>
      </c>
      <c r="G1124" s="6" t="s">
        <v>58</v>
      </c>
      <c r="H1124" s="6" t="s">
        <v>38</v>
      </c>
      <c r="I1124" s="8"/>
      <c r="J1124" s="9">
        <v>1</v>
      </c>
      <c r="K1124" s="9">
        <v>448</v>
      </c>
      <c r="L1124" s="9">
        <v>2018</v>
      </c>
      <c r="M1124" s="8" t="s">
        <v>6172</v>
      </c>
      <c r="N1124" s="8" t="s">
        <v>40</v>
      </c>
      <c r="O1124" s="8" t="s">
        <v>41</v>
      </c>
      <c r="P1124" s="6" t="s">
        <v>42</v>
      </c>
      <c r="Q1124" s="8" t="s">
        <v>43</v>
      </c>
      <c r="R1124" s="10" t="s">
        <v>896</v>
      </c>
      <c r="S1124" s="11"/>
      <c r="T1124" s="6"/>
      <c r="U1124" s="28" t="str">
        <f>HYPERLINK("https://media.infra-m.ru/0949/0949363/cover/949363.jpg", "Обложка")</f>
        <v>Обложка</v>
      </c>
      <c r="V1124" s="28" t="str">
        <f>HYPERLINK("https://znanium.com/catalog/product/949363", "Ознакомиться")</f>
        <v>Ознакомиться</v>
      </c>
      <c r="W1124" s="8" t="s">
        <v>114</v>
      </c>
      <c r="X1124" s="6"/>
      <c r="Y1124" s="6"/>
      <c r="Z1124" s="6"/>
      <c r="AA1124" s="6" t="s">
        <v>148</v>
      </c>
    </row>
    <row r="1125" spans="1:27" s="4" customFormat="1" ht="42" customHeight="1">
      <c r="A1125" s="5">
        <v>0</v>
      </c>
      <c r="B1125" s="6" t="s">
        <v>6173</v>
      </c>
      <c r="C1125" s="7">
        <v>870</v>
      </c>
      <c r="D1125" s="8" t="s">
        <v>6174</v>
      </c>
      <c r="E1125" s="8" t="s">
        <v>6175</v>
      </c>
      <c r="F1125" s="8" t="s">
        <v>1322</v>
      </c>
      <c r="G1125" s="6" t="s">
        <v>37</v>
      </c>
      <c r="H1125" s="6" t="s">
        <v>38</v>
      </c>
      <c r="I1125" s="8"/>
      <c r="J1125" s="9">
        <v>1</v>
      </c>
      <c r="K1125" s="9">
        <v>208</v>
      </c>
      <c r="L1125" s="9">
        <v>2022</v>
      </c>
      <c r="M1125" s="8" t="s">
        <v>6176</v>
      </c>
      <c r="N1125" s="8" t="s">
        <v>40</v>
      </c>
      <c r="O1125" s="8" t="s">
        <v>41</v>
      </c>
      <c r="P1125" s="6" t="s">
        <v>42</v>
      </c>
      <c r="Q1125" s="8" t="s">
        <v>43</v>
      </c>
      <c r="R1125" s="10" t="s">
        <v>776</v>
      </c>
      <c r="S1125" s="11"/>
      <c r="T1125" s="6"/>
      <c r="U1125" s="28" t="str">
        <f>HYPERLINK("https://media.infra-m.ru/1875/1875434/cover/1875434.jpg", "Обложка")</f>
        <v>Обложка</v>
      </c>
      <c r="V1125" s="28" t="str">
        <f>HYPERLINK("https://znanium.com/catalog/product/1875434", "Ознакомиться")</f>
        <v>Ознакомиться</v>
      </c>
      <c r="W1125" s="8" t="s">
        <v>712</v>
      </c>
      <c r="X1125" s="6"/>
      <c r="Y1125" s="6"/>
      <c r="Z1125" s="6"/>
      <c r="AA1125" s="6" t="s">
        <v>88</v>
      </c>
    </row>
    <row r="1126" spans="1:27" s="4" customFormat="1" ht="42" customHeight="1">
      <c r="A1126" s="5">
        <v>0</v>
      </c>
      <c r="B1126" s="6" t="s">
        <v>6177</v>
      </c>
      <c r="C1126" s="13">
        <v>1209.9000000000001</v>
      </c>
      <c r="D1126" s="8" t="s">
        <v>6178</v>
      </c>
      <c r="E1126" s="8" t="s">
        <v>6179</v>
      </c>
      <c r="F1126" s="8" t="s">
        <v>6180</v>
      </c>
      <c r="G1126" s="6" t="s">
        <v>58</v>
      </c>
      <c r="H1126" s="6" t="s">
        <v>38</v>
      </c>
      <c r="I1126" s="8"/>
      <c r="J1126" s="9">
        <v>1</v>
      </c>
      <c r="K1126" s="9">
        <v>288</v>
      </c>
      <c r="L1126" s="9">
        <v>2022</v>
      </c>
      <c r="M1126" s="8" t="s">
        <v>6181</v>
      </c>
      <c r="N1126" s="8" t="s">
        <v>40</v>
      </c>
      <c r="O1126" s="8" t="s">
        <v>41</v>
      </c>
      <c r="P1126" s="6" t="s">
        <v>42</v>
      </c>
      <c r="Q1126" s="8" t="s">
        <v>43</v>
      </c>
      <c r="R1126" s="10" t="s">
        <v>69</v>
      </c>
      <c r="S1126" s="11"/>
      <c r="T1126" s="6"/>
      <c r="U1126" s="28" t="str">
        <f>HYPERLINK("https://media.infra-m.ru/1867/1867905/cover/1867905.jpg", "Обложка")</f>
        <v>Обложка</v>
      </c>
      <c r="V1126" s="28" t="str">
        <f>HYPERLINK("https://znanium.com/catalog/product/1867905", "Ознакомиться")</f>
        <v>Ознакомиться</v>
      </c>
      <c r="W1126" s="8" t="s">
        <v>6182</v>
      </c>
      <c r="X1126" s="6"/>
      <c r="Y1126" s="6"/>
      <c r="Z1126" s="6"/>
      <c r="AA1126" s="6" t="s">
        <v>343</v>
      </c>
    </row>
    <row r="1127" spans="1:27" s="4" customFormat="1" ht="51.95" customHeight="1">
      <c r="A1127" s="5">
        <v>0</v>
      </c>
      <c r="B1127" s="6" t="s">
        <v>6183</v>
      </c>
      <c r="C1127" s="7">
        <v>940</v>
      </c>
      <c r="D1127" s="8" t="s">
        <v>6184</v>
      </c>
      <c r="E1127" s="8" t="s">
        <v>6185</v>
      </c>
      <c r="F1127" s="8" t="s">
        <v>6180</v>
      </c>
      <c r="G1127" s="6" t="s">
        <v>37</v>
      </c>
      <c r="H1127" s="6" t="s">
        <v>38</v>
      </c>
      <c r="I1127" s="8"/>
      <c r="J1127" s="9">
        <v>1</v>
      </c>
      <c r="K1127" s="9">
        <v>240</v>
      </c>
      <c r="L1127" s="9">
        <v>2022</v>
      </c>
      <c r="M1127" s="8" t="s">
        <v>6186</v>
      </c>
      <c r="N1127" s="8" t="s">
        <v>40</v>
      </c>
      <c r="O1127" s="8" t="s">
        <v>41</v>
      </c>
      <c r="P1127" s="6" t="s">
        <v>42</v>
      </c>
      <c r="Q1127" s="8" t="s">
        <v>157</v>
      </c>
      <c r="R1127" s="10" t="s">
        <v>122</v>
      </c>
      <c r="S1127" s="11"/>
      <c r="T1127" s="6"/>
      <c r="U1127" s="28" t="str">
        <f>HYPERLINK("https://media.infra-m.ru/1816/1816676/cover/1816676.jpg", "Обложка")</f>
        <v>Обложка</v>
      </c>
      <c r="V1127" s="28" t="str">
        <f>HYPERLINK("https://znanium.com/catalog/product/1816676", "Ознакомиться")</f>
        <v>Ознакомиться</v>
      </c>
      <c r="W1127" s="8" t="s">
        <v>6182</v>
      </c>
      <c r="X1127" s="6"/>
      <c r="Y1127" s="6"/>
      <c r="Z1127" s="6"/>
      <c r="AA1127" s="6" t="s">
        <v>79</v>
      </c>
    </row>
    <row r="1128" spans="1:27" s="4" customFormat="1" ht="42" customHeight="1">
      <c r="A1128" s="5">
        <v>0</v>
      </c>
      <c r="B1128" s="6" t="s">
        <v>6187</v>
      </c>
      <c r="C1128" s="7">
        <v>760</v>
      </c>
      <c r="D1128" s="8" t="s">
        <v>6188</v>
      </c>
      <c r="E1128" s="8" t="s">
        <v>6189</v>
      </c>
      <c r="F1128" s="8" t="s">
        <v>6190</v>
      </c>
      <c r="G1128" s="6" t="s">
        <v>37</v>
      </c>
      <c r="H1128" s="6" t="s">
        <v>84</v>
      </c>
      <c r="I1128" s="8" t="s">
        <v>251</v>
      </c>
      <c r="J1128" s="9">
        <v>1</v>
      </c>
      <c r="K1128" s="9">
        <v>183</v>
      </c>
      <c r="L1128" s="9">
        <v>2022</v>
      </c>
      <c r="M1128" s="8" t="s">
        <v>6191</v>
      </c>
      <c r="N1128" s="8" t="s">
        <v>40</v>
      </c>
      <c r="O1128" s="8" t="s">
        <v>41</v>
      </c>
      <c r="P1128" s="6" t="s">
        <v>42</v>
      </c>
      <c r="Q1128" s="8" t="s">
        <v>43</v>
      </c>
      <c r="R1128" s="10" t="s">
        <v>3647</v>
      </c>
      <c r="S1128" s="11"/>
      <c r="T1128" s="6"/>
      <c r="U1128" s="28" t="str">
        <f>HYPERLINK("https://media.infra-m.ru/1836/1836398/cover/1836398.jpg", "Обложка")</f>
        <v>Обложка</v>
      </c>
      <c r="V1128" s="28" t="str">
        <f>HYPERLINK("https://znanium.com/catalog/product/1836398", "Ознакомиться")</f>
        <v>Ознакомиться</v>
      </c>
      <c r="W1128" s="8" t="s">
        <v>6192</v>
      </c>
      <c r="X1128" s="6"/>
      <c r="Y1128" s="6"/>
      <c r="Z1128" s="6"/>
      <c r="AA1128" s="6" t="s">
        <v>62</v>
      </c>
    </row>
    <row r="1129" spans="1:27" s="4" customFormat="1" ht="51.95" customHeight="1">
      <c r="A1129" s="5">
        <v>0</v>
      </c>
      <c r="B1129" s="6" t="s">
        <v>6193</v>
      </c>
      <c r="C1129" s="13">
        <v>2500</v>
      </c>
      <c r="D1129" s="8" t="s">
        <v>6194</v>
      </c>
      <c r="E1129" s="8" t="s">
        <v>6195</v>
      </c>
      <c r="F1129" s="8" t="s">
        <v>3123</v>
      </c>
      <c r="G1129" s="6" t="s">
        <v>37</v>
      </c>
      <c r="H1129" s="6" t="s">
        <v>38</v>
      </c>
      <c r="I1129" s="8"/>
      <c r="J1129" s="9">
        <v>1</v>
      </c>
      <c r="K1129" s="9">
        <v>800</v>
      </c>
      <c r="L1129" s="9">
        <v>2023</v>
      </c>
      <c r="M1129" s="8" t="s">
        <v>6196</v>
      </c>
      <c r="N1129" s="8" t="s">
        <v>40</v>
      </c>
      <c r="O1129" s="8" t="s">
        <v>41</v>
      </c>
      <c r="P1129" s="6" t="s">
        <v>42</v>
      </c>
      <c r="Q1129" s="8" t="s">
        <v>43</v>
      </c>
      <c r="R1129" s="10" t="s">
        <v>6197</v>
      </c>
      <c r="S1129" s="11"/>
      <c r="T1129" s="6"/>
      <c r="U1129" s="28" t="str">
        <f>HYPERLINK("https://media.infra-m.ru/1893/1893874/cover/1893874.jpg", "Обложка")</f>
        <v>Обложка</v>
      </c>
      <c r="V1129" s="28" t="str">
        <f>HYPERLINK("https://znanium.com/catalog/product/1893874", "Ознакомиться")</f>
        <v>Ознакомиться</v>
      </c>
      <c r="W1129" s="8" t="s">
        <v>195</v>
      </c>
      <c r="X1129" s="6"/>
      <c r="Y1129" s="6"/>
      <c r="Z1129" s="6"/>
      <c r="AA1129" s="6" t="s">
        <v>311</v>
      </c>
    </row>
    <row r="1130" spans="1:27" s="4" customFormat="1" ht="42" customHeight="1">
      <c r="A1130" s="5">
        <v>0</v>
      </c>
      <c r="B1130" s="6" t="s">
        <v>6198</v>
      </c>
      <c r="C1130" s="7">
        <v>864</v>
      </c>
      <c r="D1130" s="8" t="s">
        <v>6199</v>
      </c>
      <c r="E1130" s="8" t="s">
        <v>6200</v>
      </c>
      <c r="F1130" s="8" t="s">
        <v>6201</v>
      </c>
      <c r="G1130" s="6" t="s">
        <v>51</v>
      </c>
      <c r="H1130" s="6" t="s">
        <v>52</v>
      </c>
      <c r="I1130" s="8" t="s">
        <v>251</v>
      </c>
      <c r="J1130" s="9">
        <v>1</v>
      </c>
      <c r="K1130" s="9">
        <v>187</v>
      </c>
      <c r="L1130" s="9">
        <v>2024</v>
      </c>
      <c r="M1130" s="8" t="s">
        <v>6202</v>
      </c>
      <c r="N1130" s="8" t="s">
        <v>40</v>
      </c>
      <c r="O1130" s="8" t="s">
        <v>41</v>
      </c>
      <c r="P1130" s="6" t="s">
        <v>42</v>
      </c>
      <c r="Q1130" s="8" t="s">
        <v>43</v>
      </c>
      <c r="R1130" s="10" t="s">
        <v>310</v>
      </c>
      <c r="S1130" s="11"/>
      <c r="T1130" s="6"/>
      <c r="U1130" s="28" t="str">
        <f>HYPERLINK("https://media.infra-m.ru/1895/1895626/cover/1895626.jpg", "Обложка")</f>
        <v>Обложка</v>
      </c>
      <c r="V1130" s="28" t="str">
        <f>HYPERLINK("https://znanium.com/catalog/product/1210238", "Ознакомиться")</f>
        <v>Ознакомиться</v>
      </c>
      <c r="W1130" s="8" t="s">
        <v>237</v>
      </c>
      <c r="X1130" s="6"/>
      <c r="Y1130" s="6"/>
      <c r="Z1130" s="6"/>
      <c r="AA1130" s="6" t="s">
        <v>148</v>
      </c>
    </row>
    <row r="1131" spans="1:27" s="4" customFormat="1" ht="51.95" customHeight="1">
      <c r="A1131" s="5">
        <v>0</v>
      </c>
      <c r="B1131" s="6" t="s">
        <v>6203</v>
      </c>
      <c r="C1131" s="13">
        <v>1804.9</v>
      </c>
      <c r="D1131" s="8" t="s">
        <v>6204</v>
      </c>
      <c r="E1131" s="8" t="s">
        <v>6205</v>
      </c>
      <c r="F1131" s="8" t="s">
        <v>6206</v>
      </c>
      <c r="G1131" s="6" t="s">
        <v>58</v>
      </c>
      <c r="H1131" s="6" t="s">
        <v>38</v>
      </c>
      <c r="I1131" s="8"/>
      <c r="J1131" s="9">
        <v>1</v>
      </c>
      <c r="K1131" s="9">
        <v>400</v>
      </c>
      <c r="L1131" s="9">
        <v>2023</v>
      </c>
      <c r="M1131" s="8" t="s">
        <v>6207</v>
      </c>
      <c r="N1131" s="8" t="s">
        <v>40</v>
      </c>
      <c r="O1131" s="8" t="s">
        <v>41</v>
      </c>
      <c r="P1131" s="6" t="s">
        <v>95</v>
      </c>
      <c r="Q1131" s="8" t="s">
        <v>680</v>
      </c>
      <c r="R1131" s="10" t="s">
        <v>122</v>
      </c>
      <c r="S1131" s="11"/>
      <c r="T1131" s="6"/>
      <c r="U1131" s="28" t="str">
        <f>HYPERLINK("https://media.infra-m.ru/1980/1980009/cover/1980009.jpg", "Обложка")</f>
        <v>Обложка</v>
      </c>
      <c r="V1131" s="28" t="str">
        <f>HYPERLINK("https://znanium.com/catalog/product/1203891", "Ознакомиться")</f>
        <v>Ознакомиться</v>
      </c>
      <c r="W1131" s="8" t="s">
        <v>114</v>
      </c>
      <c r="X1131" s="6"/>
      <c r="Y1131" s="6"/>
      <c r="Z1131" s="6"/>
      <c r="AA1131" s="6" t="s">
        <v>62</v>
      </c>
    </row>
    <row r="1132" spans="1:27" s="4" customFormat="1" ht="51.95" customHeight="1">
      <c r="A1132" s="5">
        <v>0</v>
      </c>
      <c r="B1132" s="6" t="s">
        <v>6208</v>
      </c>
      <c r="C1132" s="13">
        <v>1270</v>
      </c>
      <c r="D1132" s="8" t="s">
        <v>6209</v>
      </c>
      <c r="E1132" s="8" t="s">
        <v>6210</v>
      </c>
      <c r="F1132" s="8" t="s">
        <v>6211</v>
      </c>
      <c r="G1132" s="6" t="s">
        <v>51</v>
      </c>
      <c r="H1132" s="6" t="s">
        <v>400</v>
      </c>
      <c r="I1132" s="8" t="s">
        <v>1087</v>
      </c>
      <c r="J1132" s="9">
        <v>1</v>
      </c>
      <c r="K1132" s="9">
        <v>336</v>
      </c>
      <c r="L1132" s="9">
        <v>2023</v>
      </c>
      <c r="M1132" s="8" t="s">
        <v>6212</v>
      </c>
      <c r="N1132" s="8" t="s">
        <v>40</v>
      </c>
      <c r="O1132" s="8" t="s">
        <v>41</v>
      </c>
      <c r="P1132" s="6" t="s">
        <v>75</v>
      </c>
      <c r="Q1132" s="8" t="s">
        <v>76</v>
      </c>
      <c r="R1132" s="10" t="s">
        <v>6213</v>
      </c>
      <c r="S1132" s="11"/>
      <c r="T1132" s="6"/>
      <c r="U1132" s="28" t="str">
        <f>HYPERLINK("https://media.infra-m.ru/1937/1937942/cover/1937942.jpg", "Обложка")</f>
        <v>Обложка</v>
      </c>
      <c r="V1132" s="28" t="str">
        <f>HYPERLINK("https://znanium.com/catalog/product/1937942", "Ознакомиться")</f>
        <v>Ознакомиться</v>
      </c>
      <c r="W1132" s="8" t="s">
        <v>78</v>
      </c>
      <c r="X1132" s="6"/>
      <c r="Y1132" s="6"/>
      <c r="Z1132" s="6"/>
      <c r="AA1132" s="6" t="s">
        <v>3011</v>
      </c>
    </row>
    <row r="1133" spans="1:27" s="4" customFormat="1" ht="42" customHeight="1">
      <c r="A1133" s="5">
        <v>0</v>
      </c>
      <c r="B1133" s="6" t="s">
        <v>6214</v>
      </c>
      <c r="C1133" s="13">
        <v>1590</v>
      </c>
      <c r="D1133" s="8" t="s">
        <v>6215</v>
      </c>
      <c r="E1133" s="8" t="s">
        <v>6216</v>
      </c>
      <c r="F1133" s="8" t="s">
        <v>6217</v>
      </c>
      <c r="G1133" s="6" t="s">
        <v>58</v>
      </c>
      <c r="H1133" s="6" t="s">
        <v>84</v>
      </c>
      <c r="I1133" s="8" t="s">
        <v>1140</v>
      </c>
      <c r="J1133" s="9">
        <v>1</v>
      </c>
      <c r="K1133" s="9">
        <v>337</v>
      </c>
      <c r="L1133" s="9">
        <v>2024</v>
      </c>
      <c r="M1133" s="8" t="s">
        <v>6218</v>
      </c>
      <c r="N1133" s="8" t="s">
        <v>40</v>
      </c>
      <c r="O1133" s="8" t="s">
        <v>41</v>
      </c>
      <c r="P1133" s="6" t="s">
        <v>75</v>
      </c>
      <c r="Q1133" s="8" t="s">
        <v>1199</v>
      </c>
      <c r="R1133" s="10" t="s">
        <v>6219</v>
      </c>
      <c r="S1133" s="11"/>
      <c r="T1133" s="6"/>
      <c r="U1133" s="28" t="str">
        <f>HYPERLINK("https://media.infra-m.ru/1932/1932274/cover/1932274.jpg", "Обложка")</f>
        <v>Обложка</v>
      </c>
      <c r="V1133" s="28" t="str">
        <f>HYPERLINK("https://znanium.com/catalog/product/1932274", "Ознакомиться")</f>
        <v>Ознакомиться</v>
      </c>
      <c r="W1133" s="8" t="s">
        <v>4658</v>
      </c>
      <c r="X1133" s="6" t="s">
        <v>99</v>
      </c>
      <c r="Y1133" s="6"/>
      <c r="Z1133" s="6"/>
      <c r="AA1133" s="6" t="s">
        <v>100</v>
      </c>
    </row>
    <row r="1134" spans="1:27" s="4" customFormat="1" ht="51.95" customHeight="1">
      <c r="A1134" s="5">
        <v>0</v>
      </c>
      <c r="B1134" s="6" t="s">
        <v>6220</v>
      </c>
      <c r="C1134" s="13">
        <v>1240</v>
      </c>
      <c r="D1134" s="8" t="s">
        <v>6221</v>
      </c>
      <c r="E1134" s="8" t="s">
        <v>6222</v>
      </c>
      <c r="F1134" s="8" t="s">
        <v>6223</v>
      </c>
      <c r="G1134" s="6" t="s">
        <v>37</v>
      </c>
      <c r="H1134" s="6" t="s">
        <v>84</v>
      </c>
      <c r="I1134" s="8" t="s">
        <v>251</v>
      </c>
      <c r="J1134" s="9">
        <v>1</v>
      </c>
      <c r="K1134" s="9">
        <v>325</v>
      </c>
      <c r="L1134" s="9">
        <v>2021</v>
      </c>
      <c r="M1134" s="8" t="s">
        <v>6224</v>
      </c>
      <c r="N1134" s="8" t="s">
        <v>40</v>
      </c>
      <c r="O1134" s="8" t="s">
        <v>41</v>
      </c>
      <c r="P1134" s="6" t="s">
        <v>42</v>
      </c>
      <c r="Q1134" s="8" t="s">
        <v>43</v>
      </c>
      <c r="R1134" s="10" t="s">
        <v>452</v>
      </c>
      <c r="S1134" s="11"/>
      <c r="T1134" s="6" t="s">
        <v>368</v>
      </c>
      <c r="U1134" s="28" t="str">
        <f>HYPERLINK("https://media.infra-m.ru/1575/1575285/cover/1575285.jpg", "Обложка")</f>
        <v>Обложка</v>
      </c>
      <c r="V1134" s="28" t="str">
        <f>HYPERLINK("https://znanium.com/catalog/product/1575285", "Ознакомиться")</f>
        <v>Ознакомиться</v>
      </c>
      <c r="W1134" s="8" t="s">
        <v>1119</v>
      </c>
      <c r="X1134" s="6"/>
      <c r="Y1134" s="6"/>
      <c r="Z1134" s="6"/>
      <c r="AA1134" s="6" t="s">
        <v>524</v>
      </c>
    </row>
    <row r="1135" spans="1:27" s="4" customFormat="1" ht="51.95" customHeight="1">
      <c r="A1135" s="5">
        <v>0</v>
      </c>
      <c r="B1135" s="6" t="s">
        <v>6225</v>
      </c>
      <c r="C1135" s="7">
        <v>794</v>
      </c>
      <c r="D1135" s="8" t="s">
        <v>6226</v>
      </c>
      <c r="E1135" s="8" t="s">
        <v>6227</v>
      </c>
      <c r="F1135" s="8" t="s">
        <v>6228</v>
      </c>
      <c r="G1135" s="6" t="s">
        <v>51</v>
      </c>
      <c r="H1135" s="6" t="s">
        <v>38</v>
      </c>
      <c r="I1135" s="8"/>
      <c r="J1135" s="9">
        <v>1</v>
      </c>
      <c r="K1135" s="9">
        <v>176</v>
      </c>
      <c r="L1135" s="9">
        <v>2024</v>
      </c>
      <c r="M1135" s="8" t="s">
        <v>6229</v>
      </c>
      <c r="N1135" s="8" t="s">
        <v>40</v>
      </c>
      <c r="O1135" s="8" t="s">
        <v>41</v>
      </c>
      <c r="P1135" s="6" t="s">
        <v>42</v>
      </c>
      <c r="Q1135" s="8" t="s">
        <v>43</v>
      </c>
      <c r="R1135" s="10" t="s">
        <v>5864</v>
      </c>
      <c r="S1135" s="11"/>
      <c r="T1135" s="6"/>
      <c r="U1135" s="28" t="str">
        <f>HYPERLINK("https://media.infra-m.ru/1981/1981610/cover/1981610.jpg", "Обложка")</f>
        <v>Обложка</v>
      </c>
      <c r="V1135" s="28" t="str">
        <f>HYPERLINK("https://znanium.com/catalog/product/1708654", "Ознакомиться")</f>
        <v>Ознакомиться</v>
      </c>
      <c r="W1135" s="8" t="s">
        <v>700</v>
      </c>
      <c r="X1135" s="6"/>
      <c r="Y1135" s="6"/>
      <c r="Z1135" s="6"/>
      <c r="AA1135" s="6" t="s">
        <v>422</v>
      </c>
    </row>
    <row r="1136" spans="1:27" s="4" customFormat="1" ht="42" customHeight="1">
      <c r="A1136" s="5">
        <v>0</v>
      </c>
      <c r="B1136" s="6" t="s">
        <v>6230</v>
      </c>
      <c r="C1136" s="13">
        <v>1530</v>
      </c>
      <c r="D1136" s="8" t="s">
        <v>6231</v>
      </c>
      <c r="E1136" s="8" t="s">
        <v>6232</v>
      </c>
      <c r="F1136" s="8" t="s">
        <v>6233</v>
      </c>
      <c r="G1136" s="6" t="s">
        <v>58</v>
      </c>
      <c r="H1136" s="6" t="s">
        <v>38</v>
      </c>
      <c r="I1136" s="8"/>
      <c r="J1136" s="9">
        <v>1</v>
      </c>
      <c r="K1136" s="9">
        <v>448</v>
      </c>
      <c r="L1136" s="9">
        <v>2020</v>
      </c>
      <c r="M1136" s="8" t="s">
        <v>6234</v>
      </c>
      <c r="N1136" s="8" t="s">
        <v>40</v>
      </c>
      <c r="O1136" s="8" t="s">
        <v>41</v>
      </c>
      <c r="P1136" s="6" t="s">
        <v>3963</v>
      </c>
      <c r="Q1136" s="8" t="s">
        <v>43</v>
      </c>
      <c r="R1136" s="10" t="s">
        <v>812</v>
      </c>
      <c r="S1136" s="11"/>
      <c r="T1136" s="6"/>
      <c r="U1136" s="28" t="str">
        <f>HYPERLINK("https://media.infra-m.ru/1064/1064992/cover/1064992.jpg", "Обложка")</f>
        <v>Обложка</v>
      </c>
      <c r="V1136" s="28" t="str">
        <f>HYPERLINK("https://znanium.com/catalog/product/2114316", "Ознакомиться")</f>
        <v>Ознакомиться</v>
      </c>
      <c r="W1136" s="8" t="s">
        <v>124</v>
      </c>
      <c r="X1136" s="6"/>
      <c r="Y1136" s="6"/>
      <c r="Z1136" s="6"/>
      <c r="AA1136" s="6" t="s">
        <v>5644</v>
      </c>
    </row>
    <row r="1137" spans="1:27" s="4" customFormat="1" ht="42" customHeight="1">
      <c r="A1137" s="5">
        <v>0</v>
      </c>
      <c r="B1137" s="6" t="s">
        <v>6235</v>
      </c>
      <c r="C1137" s="13">
        <v>2170</v>
      </c>
      <c r="D1137" s="8" t="s">
        <v>6236</v>
      </c>
      <c r="E1137" s="8" t="s">
        <v>6237</v>
      </c>
      <c r="F1137" s="8" t="s">
        <v>6238</v>
      </c>
      <c r="G1137" s="6" t="s">
        <v>58</v>
      </c>
      <c r="H1137" s="6" t="s">
        <v>38</v>
      </c>
      <c r="I1137" s="8"/>
      <c r="J1137" s="9">
        <v>1</v>
      </c>
      <c r="K1137" s="9">
        <v>472</v>
      </c>
      <c r="L1137" s="9">
        <v>2024</v>
      </c>
      <c r="M1137" s="8" t="s">
        <v>6239</v>
      </c>
      <c r="N1137" s="8" t="s">
        <v>40</v>
      </c>
      <c r="O1137" s="8" t="s">
        <v>41</v>
      </c>
      <c r="P1137" s="6" t="s">
        <v>3963</v>
      </c>
      <c r="Q1137" s="8" t="s">
        <v>43</v>
      </c>
      <c r="R1137" s="10" t="s">
        <v>812</v>
      </c>
      <c r="S1137" s="11"/>
      <c r="T1137" s="6"/>
      <c r="U1137" s="28" t="str">
        <f>HYPERLINK("https://media.infra-m.ru/2114/2114316/cover/2114316.jpg", "Обложка")</f>
        <v>Обложка</v>
      </c>
      <c r="V1137" s="28" t="str">
        <f>HYPERLINK("https://znanium.com/catalog/product/2114316", "Ознакомиться")</f>
        <v>Ознакомиться</v>
      </c>
      <c r="W1137" s="8" t="s">
        <v>124</v>
      </c>
      <c r="X1137" s="6"/>
      <c r="Y1137" s="6"/>
      <c r="Z1137" s="6"/>
      <c r="AA1137" s="6" t="s">
        <v>6240</v>
      </c>
    </row>
    <row r="1138" spans="1:27" s="4" customFormat="1" ht="51.95" customHeight="1">
      <c r="A1138" s="5">
        <v>0</v>
      </c>
      <c r="B1138" s="6" t="s">
        <v>6241</v>
      </c>
      <c r="C1138" s="7">
        <v>720</v>
      </c>
      <c r="D1138" s="8" t="s">
        <v>6242</v>
      </c>
      <c r="E1138" s="8" t="s">
        <v>6243</v>
      </c>
      <c r="F1138" s="8" t="s">
        <v>521</v>
      </c>
      <c r="G1138" s="6" t="s">
        <v>37</v>
      </c>
      <c r="H1138" s="6" t="s">
        <v>38</v>
      </c>
      <c r="I1138" s="8"/>
      <c r="J1138" s="9">
        <v>1</v>
      </c>
      <c r="K1138" s="9">
        <v>160</v>
      </c>
      <c r="L1138" s="9">
        <v>2023</v>
      </c>
      <c r="M1138" s="8" t="s">
        <v>6244</v>
      </c>
      <c r="N1138" s="8" t="s">
        <v>40</v>
      </c>
      <c r="O1138" s="8" t="s">
        <v>41</v>
      </c>
      <c r="P1138" s="6" t="s">
        <v>3963</v>
      </c>
      <c r="Q1138" s="8" t="s">
        <v>43</v>
      </c>
      <c r="R1138" s="10" t="s">
        <v>6245</v>
      </c>
      <c r="S1138" s="11"/>
      <c r="T1138" s="6"/>
      <c r="U1138" s="28" t="str">
        <f>HYPERLINK("https://media.infra-m.ru/2050/2050524/cover/2050524.jpg", "Обложка")</f>
        <v>Обложка</v>
      </c>
      <c r="V1138" s="28" t="str">
        <f>HYPERLINK("https://znanium.com/catalog/product/1970294", "Ознакомиться")</f>
        <v>Ознакомиться</v>
      </c>
      <c r="W1138" s="8"/>
      <c r="X1138" s="6"/>
      <c r="Y1138" s="6"/>
      <c r="Z1138" s="6"/>
      <c r="AA1138" s="6" t="s">
        <v>739</v>
      </c>
    </row>
    <row r="1139" spans="1:27" s="4" customFormat="1" ht="51.95" customHeight="1">
      <c r="A1139" s="5">
        <v>0</v>
      </c>
      <c r="B1139" s="6" t="s">
        <v>6246</v>
      </c>
      <c r="C1139" s="7">
        <v>450</v>
      </c>
      <c r="D1139" s="8" t="s">
        <v>6247</v>
      </c>
      <c r="E1139" s="8" t="s">
        <v>6248</v>
      </c>
      <c r="F1139" s="8" t="s">
        <v>521</v>
      </c>
      <c r="G1139" s="6" t="s">
        <v>51</v>
      </c>
      <c r="H1139" s="6" t="s">
        <v>38</v>
      </c>
      <c r="I1139" s="8"/>
      <c r="J1139" s="9">
        <v>1</v>
      </c>
      <c r="K1139" s="9">
        <v>128</v>
      </c>
      <c r="L1139" s="9">
        <v>2019</v>
      </c>
      <c r="M1139" s="8" t="s">
        <v>6249</v>
      </c>
      <c r="N1139" s="8" t="s">
        <v>40</v>
      </c>
      <c r="O1139" s="8" t="s">
        <v>41</v>
      </c>
      <c r="P1139" s="6" t="s">
        <v>3963</v>
      </c>
      <c r="Q1139" s="8" t="s">
        <v>296</v>
      </c>
      <c r="R1139" s="10" t="s">
        <v>6245</v>
      </c>
      <c r="S1139" s="11"/>
      <c r="T1139" s="6"/>
      <c r="U1139" s="28" t="str">
        <f>HYPERLINK("https://media.infra-m.ru/1039/1039624/cover/1039624.jpg", "Обложка")</f>
        <v>Обложка</v>
      </c>
      <c r="V1139" s="28" t="str">
        <f>HYPERLINK("https://znanium.com/catalog/product/1970294", "Ознакомиться")</f>
        <v>Ознакомиться</v>
      </c>
      <c r="W1139" s="8"/>
      <c r="X1139" s="6"/>
      <c r="Y1139" s="6"/>
      <c r="Z1139" s="6"/>
      <c r="AA1139" s="6" t="s">
        <v>88</v>
      </c>
    </row>
    <row r="1140" spans="1:27" s="4" customFormat="1" ht="44.1" customHeight="1">
      <c r="A1140" s="5">
        <v>0</v>
      </c>
      <c r="B1140" s="6" t="s">
        <v>6250</v>
      </c>
      <c r="C1140" s="13">
        <v>2160</v>
      </c>
      <c r="D1140" s="8" t="s">
        <v>6251</v>
      </c>
      <c r="E1140" s="8" t="s">
        <v>6252</v>
      </c>
      <c r="F1140" s="8" t="s">
        <v>6253</v>
      </c>
      <c r="G1140" s="6" t="s">
        <v>37</v>
      </c>
      <c r="H1140" s="6" t="s">
        <v>38</v>
      </c>
      <c r="I1140" s="8"/>
      <c r="J1140" s="9">
        <v>1</v>
      </c>
      <c r="K1140" s="9">
        <v>480</v>
      </c>
      <c r="L1140" s="9">
        <v>2023</v>
      </c>
      <c r="M1140" s="8" t="s">
        <v>6254</v>
      </c>
      <c r="N1140" s="8" t="s">
        <v>40</v>
      </c>
      <c r="O1140" s="8" t="s">
        <v>41</v>
      </c>
      <c r="P1140" s="6" t="s">
        <v>3963</v>
      </c>
      <c r="Q1140" s="8" t="s">
        <v>43</v>
      </c>
      <c r="R1140" s="10" t="s">
        <v>1290</v>
      </c>
      <c r="S1140" s="11"/>
      <c r="T1140" s="6"/>
      <c r="U1140" s="28" t="str">
        <f>HYPERLINK("https://media.infra-m.ru/1895/1895986/cover/1895986.jpg", "Обложка")</f>
        <v>Обложка</v>
      </c>
      <c r="V1140" s="28" t="str">
        <f>HYPERLINK("https://znanium.com/catalog/product/1895986", "Ознакомиться")</f>
        <v>Ознакомиться</v>
      </c>
      <c r="W1140" s="8" t="s">
        <v>124</v>
      </c>
      <c r="X1140" s="6"/>
      <c r="Y1140" s="6"/>
      <c r="Z1140" s="6"/>
      <c r="AA1140" s="6" t="s">
        <v>143</v>
      </c>
    </row>
    <row r="1141" spans="1:27" s="4" customFormat="1" ht="44.1" customHeight="1">
      <c r="A1141" s="5">
        <v>0</v>
      </c>
      <c r="B1141" s="6" t="s">
        <v>6255</v>
      </c>
      <c r="C1141" s="13">
        <v>1300</v>
      </c>
      <c r="D1141" s="8" t="s">
        <v>6256</v>
      </c>
      <c r="E1141" s="8" t="s">
        <v>6257</v>
      </c>
      <c r="F1141" s="8" t="s">
        <v>6253</v>
      </c>
      <c r="G1141" s="6" t="s">
        <v>37</v>
      </c>
      <c r="H1141" s="6" t="s">
        <v>38</v>
      </c>
      <c r="I1141" s="8"/>
      <c r="J1141" s="9">
        <v>1</v>
      </c>
      <c r="K1141" s="9">
        <v>360</v>
      </c>
      <c r="L1141" s="9">
        <v>2021</v>
      </c>
      <c r="M1141" s="8" t="s">
        <v>6258</v>
      </c>
      <c r="N1141" s="8" t="s">
        <v>40</v>
      </c>
      <c r="O1141" s="8" t="s">
        <v>41</v>
      </c>
      <c r="P1141" s="6" t="s">
        <v>3963</v>
      </c>
      <c r="Q1141" s="8" t="s">
        <v>43</v>
      </c>
      <c r="R1141" s="10" t="s">
        <v>1290</v>
      </c>
      <c r="S1141" s="11"/>
      <c r="T1141" s="6"/>
      <c r="U1141" s="28" t="str">
        <f>HYPERLINK("https://media.infra-m.ru/1248/1248241/cover/1248241.jpg", "Обложка")</f>
        <v>Обложка</v>
      </c>
      <c r="V1141" s="28" t="str">
        <f>HYPERLINK("https://znanium.com/catalog/product/1895986", "Ознакомиться")</f>
        <v>Ознакомиться</v>
      </c>
      <c r="W1141" s="8" t="s">
        <v>124</v>
      </c>
      <c r="X1141" s="6"/>
      <c r="Y1141" s="6"/>
      <c r="Z1141" s="6"/>
      <c r="AA1141" s="6" t="s">
        <v>115</v>
      </c>
    </row>
    <row r="1142" spans="1:27" s="4" customFormat="1" ht="51.95" customHeight="1">
      <c r="A1142" s="5">
        <v>0</v>
      </c>
      <c r="B1142" s="6" t="s">
        <v>6259</v>
      </c>
      <c r="C1142" s="13">
        <v>2300</v>
      </c>
      <c r="D1142" s="8" t="s">
        <v>6260</v>
      </c>
      <c r="E1142" s="8" t="s">
        <v>6261</v>
      </c>
      <c r="F1142" s="8" t="s">
        <v>6262</v>
      </c>
      <c r="G1142" s="6" t="s">
        <v>58</v>
      </c>
      <c r="H1142" s="6" t="s">
        <v>38</v>
      </c>
      <c r="I1142" s="8"/>
      <c r="J1142" s="9">
        <v>1</v>
      </c>
      <c r="K1142" s="9">
        <v>624</v>
      </c>
      <c r="L1142" s="9">
        <v>2024</v>
      </c>
      <c r="M1142" s="8" t="s">
        <v>6263</v>
      </c>
      <c r="N1142" s="8" t="s">
        <v>40</v>
      </c>
      <c r="O1142" s="8" t="s">
        <v>41</v>
      </c>
      <c r="P1142" s="6" t="s">
        <v>95</v>
      </c>
      <c r="Q1142" s="8" t="s">
        <v>680</v>
      </c>
      <c r="R1142" s="10" t="s">
        <v>77</v>
      </c>
      <c r="S1142" s="11"/>
      <c r="T1142" s="6"/>
      <c r="U1142" s="28" t="str">
        <f>HYPERLINK("https://media.infra-m.ru/2055/2055765/cover/2055765.jpg", "Обложка")</f>
        <v>Обложка</v>
      </c>
      <c r="V1142" s="28" t="str">
        <f>HYPERLINK("https://znanium.com/catalog/product/2055765", "Ознакомиться")</f>
        <v>Ознакомиться</v>
      </c>
      <c r="W1142" s="8" t="s">
        <v>1482</v>
      </c>
      <c r="X1142" s="6" t="s">
        <v>1446</v>
      </c>
      <c r="Y1142" s="6"/>
      <c r="Z1142" s="6"/>
      <c r="AA1142" s="6" t="s">
        <v>100</v>
      </c>
    </row>
    <row r="1143" spans="1:27" s="4" customFormat="1" ht="51.95" customHeight="1">
      <c r="A1143" s="5">
        <v>0</v>
      </c>
      <c r="B1143" s="6" t="s">
        <v>6264</v>
      </c>
      <c r="C1143" s="13">
        <v>2000</v>
      </c>
      <c r="D1143" s="8" t="s">
        <v>6265</v>
      </c>
      <c r="E1143" s="8" t="s">
        <v>6266</v>
      </c>
      <c r="F1143" s="8" t="s">
        <v>6262</v>
      </c>
      <c r="G1143" s="6" t="s">
        <v>58</v>
      </c>
      <c r="H1143" s="6" t="s">
        <v>38</v>
      </c>
      <c r="I1143" s="8"/>
      <c r="J1143" s="9">
        <v>1</v>
      </c>
      <c r="K1143" s="9">
        <v>544</v>
      </c>
      <c r="L1143" s="9">
        <v>2024</v>
      </c>
      <c r="M1143" s="8" t="s">
        <v>6267</v>
      </c>
      <c r="N1143" s="8" t="s">
        <v>40</v>
      </c>
      <c r="O1143" s="8" t="s">
        <v>41</v>
      </c>
      <c r="P1143" s="6" t="s">
        <v>95</v>
      </c>
      <c r="Q1143" s="8" t="s">
        <v>680</v>
      </c>
      <c r="R1143" s="10" t="s">
        <v>77</v>
      </c>
      <c r="S1143" s="11"/>
      <c r="T1143" s="6"/>
      <c r="U1143" s="28" t="str">
        <f>HYPERLINK("https://media.infra-m.ru/2037/2037407/cover/2037407.jpg", "Обложка")</f>
        <v>Обложка</v>
      </c>
      <c r="V1143" s="28" t="str">
        <f>HYPERLINK("https://znanium.com/catalog/product/2037407", "Ознакомиться")</f>
        <v>Ознакомиться</v>
      </c>
      <c r="W1143" s="8" t="s">
        <v>1482</v>
      </c>
      <c r="X1143" s="6" t="s">
        <v>1446</v>
      </c>
      <c r="Y1143" s="6"/>
      <c r="Z1143" s="6"/>
      <c r="AA1143" s="6" t="s">
        <v>100</v>
      </c>
    </row>
    <row r="1144" spans="1:27" s="4" customFormat="1" ht="42" customHeight="1">
      <c r="A1144" s="5">
        <v>0</v>
      </c>
      <c r="B1144" s="6" t="s">
        <v>6268</v>
      </c>
      <c r="C1144" s="13">
        <v>1544.9</v>
      </c>
      <c r="D1144" s="8" t="s">
        <v>6269</v>
      </c>
      <c r="E1144" s="8" t="s">
        <v>6270</v>
      </c>
      <c r="F1144" s="8" t="s">
        <v>6271</v>
      </c>
      <c r="G1144" s="6" t="s">
        <v>58</v>
      </c>
      <c r="H1144" s="6" t="s">
        <v>38</v>
      </c>
      <c r="I1144" s="8"/>
      <c r="J1144" s="9">
        <v>1</v>
      </c>
      <c r="K1144" s="9">
        <v>368</v>
      </c>
      <c r="L1144" s="9">
        <v>2022</v>
      </c>
      <c r="M1144" s="8" t="s">
        <v>6272</v>
      </c>
      <c r="N1144" s="8" t="s">
        <v>40</v>
      </c>
      <c r="O1144" s="8" t="s">
        <v>41</v>
      </c>
      <c r="P1144" s="6" t="s">
        <v>42</v>
      </c>
      <c r="Q1144" s="8" t="s">
        <v>43</v>
      </c>
      <c r="R1144" s="10" t="s">
        <v>304</v>
      </c>
      <c r="S1144" s="11"/>
      <c r="T1144" s="6"/>
      <c r="U1144" s="28" t="str">
        <f>HYPERLINK("https://media.infra-m.ru/1877/1877686/cover/1877686.jpg", "Обложка")</f>
        <v>Обложка</v>
      </c>
      <c r="V1144" s="28" t="str">
        <f>HYPERLINK("https://znanium.com/catalog/product/988926", "Ознакомиться")</f>
        <v>Ознакомиться</v>
      </c>
      <c r="W1144" s="8" t="s">
        <v>1356</v>
      </c>
      <c r="X1144" s="6"/>
      <c r="Y1144" s="6"/>
      <c r="Z1144" s="6"/>
      <c r="AA1144" s="6" t="s">
        <v>415</v>
      </c>
    </row>
    <row r="1145" spans="1:27" s="4" customFormat="1" ht="42" customHeight="1">
      <c r="A1145" s="5">
        <v>0</v>
      </c>
      <c r="B1145" s="6" t="s">
        <v>6273</v>
      </c>
      <c r="C1145" s="7">
        <v>454.9</v>
      </c>
      <c r="D1145" s="8" t="s">
        <v>6274</v>
      </c>
      <c r="E1145" s="8" t="s">
        <v>6275</v>
      </c>
      <c r="F1145" s="8" t="s">
        <v>6276</v>
      </c>
      <c r="G1145" s="6" t="s">
        <v>58</v>
      </c>
      <c r="H1145" s="6" t="s">
        <v>52</v>
      </c>
      <c r="I1145" s="8" t="s">
        <v>316</v>
      </c>
      <c r="J1145" s="9">
        <v>1</v>
      </c>
      <c r="K1145" s="9">
        <v>156</v>
      </c>
      <c r="L1145" s="9">
        <v>2017</v>
      </c>
      <c r="M1145" s="8" t="s">
        <v>6277</v>
      </c>
      <c r="N1145" s="8" t="s">
        <v>40</v>
      </c>
      <c r="O1145" s="8" t="s">
        <v>41</v>
      </c>
      <c r="P1145" s="6" t="s">
        <v>75</v>
      </c>
      <c r="Q1145" s="8" t="s">
        <v>157</v>
      </c>
      <c r="R1145" s="10" t="s">
        <v>310</v>
      </c>
      <c r="S1145" s="11"/>
      <c r="T1145" s="6"/>
      <c r="U1145" s="28" t="str">
        <f>HYPERLINK("https://media.infra-m.ru/0908/0908691/cover/908691.jpg", "Обложка")</f>
        <v>Обложка</v>
      </c>
      <c r="V1145" s="28" t="str">
        <f>HYPERLINK("https://znanium.com/catalog/product/255991", "Ознакомиться")</f>
        <v>Ознакомиться</v>
      </c>
      <c r="W1145" s="8" t="s">
        <v>726</v>
      </c>
      <c r="X1145" s="6"/>
      <c r="Y1145" s="6"/>
      <c r="Z1145" s="6"/>
      <c r="AA1145" s="6" t="s">
        <v>415</v>
      </c>
    </row>
    <row r="1146" spans="1:27" s="4" customFormat="1" ht="44.1" customHeight="1">
      <c r="A1146" s="5">
        <v>0</v>
      </c>
      <c r="B1146" s="6" t="s">
        <v>6278</v>
      </c>
      <c r="C1146" s="13">
        <v>1120</v>
      </c>
      <c r="D1146" s="8" t="s">
        <v>6279</v>
      </c>
      <c r="E1146" s="8" t="s">
        <v>6280</v>
      </c>
      <c r="F1146" s="8" t="s">
        <v>6281</v>
      </c>
      <c r="G1146" s="6" t="s">
        <v>58</v>
      </c>
      <c r="H1146" s="6" t="s">
        <v>52</v>
      </c>
      <c r="I1146" s="8" t="s">
        <v>251</v>
      </c>
      <c r="J1146" s="9">
        <v>1</v>
      </c>
      <c r="K1146" s="9">
        <v>245</v>
      </c>
      <c r="L1146" s="9">
        <v>2023</v>
      </c>
      <c r="M1146" s="8" t="s">
        <v>6282</v>
      </c>
      <c r="N1146" s="8" t="s">
        <v>40</v>
      </c>
      <c r="O1146" s="8" t="s">
        <v>41</v>
      </c>
      <c r="P1146" s="6" t="s">
        <v>42</v>
      </c>
      <c r="Q1146" s="8" t="s">
        <v>43</v>
      </c>
      <c r="R1146" s="10" t="s">
        <v>6283</v>
      </c>
      <c r="S1146" s="11"/>
      <c r="T1146" s="6"/>
      <c r="U1146" s="28" t="str">
        <f>HYPERLINK("https://media.infra-m.ru/1913/1913778/cover/1913778.jpg", "Обложка")</f>
        <v>Обложка</v>
      </c>
      <c r="V1146" s="12"/>
      <c r="W1146" s="8" t="s">
        <v>726</v>
      </c>
      <c r="X1146" s="6" t="s">
        <v>407</v>
      </c>
      <c r="Y1146" s="6"/>
      <c r="Z1146" s="6"/>
      <c r="AA1146" s="6" t="s">
        <v>408</v>
      </c>
    </row>
    <row r="1147" spans="1:27" s="4" customFormat="1" ht="51.95" customHeight="1">
      <c r="A1147" s="5">
        <v>0</v>
      </c>
      <c r="B1147" s="6" t="s">
        <v>6284</v>
      </c>
      <c r="C1147" s="13">
        <v>1950</v>
      </c>
      <c r="D1147" s="8" t="s">
        <v>6285</v>
      </c>
      <c r="E1147" s="8" t="s">
        <v>6280</v>
      </c>
      <c r="F1147" s="8" t="s">
        <v>716</v>
      </c>
      <c r="G1147" s="6" t="s">
        <v>37</v>
      </c>
      <c r="H1147" s="6" t="s">
        <v>38</v>
      </c>
      <c r="I1147" s="8"/>
      <c r="J1147" s="9">
        <v>1</v>
      </c>
      <c r="K1147" s="9">
        <v>448</v>
      </c>
      <c r="L1147" s="9">
        <v>2023</v>
      </c>
      <c r="M1147" s="8" t="s">
        <v>6286</v>
      </c>
      <c r="N1147" s="8" t="s">
        <v>40</v>
      </c>
      <c r="O1147" s="8" t="s">
        <v>41</v>
      </c>
      <c r="P1147" s="6" t="s">
        <v>75</v>
      </c>
      <c r="Q1147" s="8" t="s">
        <v>76</v>
      </c>
      <c r="R1147" s="10" t="s">
        <v>2614</v>
      </c>
      <c r="S1147" s="11"/>
      <c r="T1147" s="6"/>
      <c r="U1147" s="28" t="str">
        <f>HYPERLINK("https://media.infra-m.ru/1899/1899575/cover/1899575.jpg", "Обложка")</f>
        <v>Обложка</v>
      </c>
      <c r="V1147" s="28" t="str">
        <f>HYPERLINK("https://znanium.com/catalog/product/1899575", "Ознакомиться")</f>
        <v>Ознакомиться</v>
      </c>
      <c r="W1147" s="8" t="s">
        <v>78</v>
      </c>
      <c r="X1147" s="6"/>
      <c r="Y1147" s="6"/>
      <c r="Z1147" s="6"/>
      <c r="AA1147" s="6" t="s">
        <v>622</v>
      </c>
    </row>
    <row r="1148" spans="1:27" s="4" customFormat="1" ht="51.95" customHeight="1">
      <c r="A1148" s="5">
        <v>0</v>
      </c>
      <c r="B1148" s="6" t="s">
        <v>6287</v>
      </c>
      <c r="C1148" s="13">
        <v>1474</v>
      </c>
      <c r="D1148" s="8" t="s">
        <v>6288</v>
      </c>
      <c r="E1148" s="8" t="s">
        <v>6289</v>
      </c>
      <c r="F1148" s="8" t="s">
        <v>6290</v>
      </c>
      <c r="G1148" s="6" t="s">
        <v>37</v>
      </c>
      <c r="H1148" s="6" t="s">
        <v>38</v>
      </c>
      <c r="I1148" s="8" t="s">
        <v>1732</v>
      </c>
      <c r="J1148" s="9">
        <v>1</v>
      </c>
      <c r="K1148" s="9">
        <v>320</v>
      </c>
      <c r="L1148" s="9">
        <v>2023</v>
      </c>
      <c r="M1148" s="8" t="s">
        <v>6291</v>
      </c>
      <c r="N1148" s="8" t="s">
        <v>40</v>
      </c>
      <c r="O1148" s="8" t="s">
        <v>41</v>
      </c>
      <c r="P1148" s="6" t="s">
        <v>95</v>
      </c>
      <c r="Q1148" s="8" t="s">
        <v>680</v>
      </c>
      <c r="R1148" s="10" t="s">
        <v>122</v>
      </c>
      <c r="S1148" s="11"/>
      <c r="T1148" s="6"/>
      <c r="U1148" s="28" t="str">
        <f>HYPERLINK("https://media.infra-m.ru/2045/2045971/cover/2045971.jpg", "Обложка")</f>
        <v>Обложка</v>
      </c>
      <c r="V1148" s="28" t="str">
        <f>HYPERLINK("https://znanium.com/catalog/product/1225057", "Ознакомиться")</f>
        <v>Ознакомиться</v>
      </c>
      <c r="W1148" s="8" t="s">
        <v>6292</v>
      </c>
      <c r="X1148" s="6"/>
      <c r="Y1148" s="6"/>
      <c r="Z1148" s="6"/>
      <c r="AA1148" s="6" t="s">
        <v>115</v>
      </c>
    </row>
    <row r="1149" spans="1:27" s="4" customFormat="1" ht="51.95" customHeight="1">
      <c r="A1149" s="5">
        <v>0</v>
      </c>
      <c r="B1149" s="6" t="s">
        <v>6293</v>
      </c>
      <c r="C1149" s="13">
        <v>1224.9000000000001</v>
      </c>
      <c r="D1149" s="8" t="s">
        <v>6294</v>
      </c>
      <c r="E1149" s="8" t="s">
        <v>6295</v>
      </c>
      <c r="F1149" s="8" t="s">
        <v>716</v>
      </c>
      <c r="G1149" s="6" t="s">
        <v>37</v>
      </c>
      <c r="H1149" s="6" t="s">
        <v>38</v>
      </c>
      <c r="I1149" s="8"/>
      <c r="J1149" s="9">
        <v>1</v>
      </c>
      <c r="K1149" s="9">
        <v>320</v>
      </c>
      <c r="L1149" s="9">
        <v>2022</v>
      </c>
      <c r="M1149" s="8" t="s">
        <v>6296</v>
      </c>
      <c r="N1149" s="8" t="s">
        <v>40</v>
      </c>
      <c r="O1149" s="8" t="s">
        <v>41</v>
      </c>
      <c r="P1149" s="6" t="s">
        <v>95</v>
      </c>
      <c r="Q1149" s="8" t="s">
        <v>157</v>
      </c>
      <c r="R1149" s="10" t="s">
        <v>122</v>
      </c>
      <c r="S1149" s="11"/>
      <c r="T1149" s="6"/>
      <c r="U1149" s="28" t="str">
        <f>HYPERLINK("https://media.infra-m.ru/1860/1860815/cover/1860815.jpg", "Обложка")</f>
        <v>Обложка</v>
      </c>
      <c r="V1149" s="28" t="str">
        <f>HYPERLINK("https://znanium.com/catalog/product/1896822", "Ознакомиться")</f>
        <v>Ознакомиться</v>
      </c>
      <c r="W1149" s="8" t="s">
        <v>78</v>
      </c>
      <c r="X1149" s="6"/>
      <c r="Y1149" s="6"/>
      <c r="Z1149" s="6"/>
      <c r="AA1149" s="6" t="s">
        <v>2442</v>
      </c>
    </row>
    <row r="1150" spans="1:27" s="4" customFormat="1" ht="42" customHeight="1">
      <c r="A1150" s="5">
        <v>0</v>
      </c>
      <c r="B1150" s="6" t="s">
        <v>6297</v>
      </c>
      <c r="C1150" s="13">
        <v>1194.9000000000001</v>
      </c>
      <c r="D1150" s="8" t="s">
        <v>6298</v>
      </c>
      <c r="E1150" s="8" t="s">
        <v>6289</v>
      </c>
      <c r="F1150" s="8" t="s">
        <v>6299</v>
      </c>
      <c r="G1150" s="6" t="s">
        <v>58</v>
      </c>
      <c r="H1150" s="6" t="s">
        <v>400</v>
      </c>
      <c r="I1150" s="8" t="s">
        <v>6300</v>
      </c>
      <c r="J1150" s="9">
        <v>1</v>
      </c>
      <c r="K1150" s="9">
        <v>352</v>
      </c>
      <c r="L1150" s="9">
        <v>2020</v>
      </c>
      <c r="M1150" s="8" t="s">
        <v>6301</v>
      </c>
      <c r="N1150" s="8" t="s">
        <v>40</v>
      </c>
      <c r="O1150" s="8" t="s">
        <v>41</v>
      </c>
      <c r="P1150" s="6" t="s">
        <v>1979</v>
      </c>
      <c r="Q1150" s="8" t="s">
        <v>76</v>
      </c>
      <c r="R1150" s="10" t="s">
        <v>304</v>
      </c>
      <c r="S1150" s="11"/>
      <c r="T1150" s="6"/>
      <c r="U1150" s="28" t="str">
        <f>HYPERLINK("https://media.infra-m.ru/1068/1068839/cover/1068839.jpg", "Обложка")</f>
        <v>Обложка</v>
      </c>
      <c r="V1150" s="28" t="str">
        <f>HYPERLINK("https://znanium.com/catalog/product/1068839", "Ознакомиться")</f>
        <v>Ознакомиться</v>
      </c>
      <c r="W1150" s="8" t="s">
        <v>78</v>
      </c>
      <c r="X1150" s="6"/>
      <c r="Y1150" s="6"/>
      <c r="Z1150" s="6"/>
      <c r="AA1150" s="6" t="s">
        <v>706</v>
      </c>
    </row>
    <row r="1151" spans="1:27" s="4" customFormat="1" ht="51.95" customHeight="1">
      <c r="A1151" s="5">
        <v>0</v>
      </c>
      <c r="B1151" s="6" t="s">
        <v>6302</v>
      </c>
      <c r="C1151" s="13">
        <v>1022.9</v>
      </c>
      <c r="D1151" s="8" t="s">
        <v>6303</v>
      </c>
      <c r="E1151" s="8" t="s">
        <v>6304</v>
      </c>
      <c r="F1151" s="8" t="s">
        <v>2634</v>
      </c>
      <c r="G1151" s="6" t="s">
        <v>58</v>
      </c>
      <c r="H1151" s="6" t="s">
        <v>38</v>
      </c>
      <c r="I1151" s="8"/>
      <c r="J1151" s="9">
        <v>1</v>
      </c>
      <c r="K1151" s="9">
        <v>384</v>
      </c>
      <c r="L1151" s="9">
        <v>2019</v>
      </c>
      <c r="M1151" s="8" t="s">
        <v>6305</v>
      </c>
      <c r="N1151" s="8" t="s">
        <v>40</v>
      </c>
      <c r="O1151" s="8" t="s">
        <v>41</v>
      </c>
      <c r="P1151" s="6" t="s">
        <v>42</v>
      </c>
      <c r="Q1151" s="8" t="s">
        <v>43</v>
      </c>
      <c r="R1151" s="10" t="s">
        <v>2636</v>
      </c>
      <c r="S1151" s="11"/>
      <c r="T1151" s="6"/>
      <c r="U1151" s="28" t="str">
        <f>HYPERLINK("https://media.infra-m.ru/1019/1019212/cover/1019212.jpg", "Обложка")</f>
        <v>Обложка</v>
      </c>
      <c r="V1151" s="28" t="str">
        <f>HYPERLINK("https://znanium.com/catalog/product/1061191", "Ознакомиться")</f>
        <v>Ознакомиться</v>
      </c>
      <c r="W1151" s="8" t="s">
        <v>2638</v>
      </c>
      <c r="X1151" s="6"/>
      <c r="Y1151" s="6"/>
      <c r="Z1151" s="6"/>
      <c r="AA1151" s="6" t="s">
        <v>79</v>
      </c>
    </row>
    <row r="1152" spans="1:27" s="4" customFormat="1" ht="42" customHeight="1">
      <c r="A1152" s="5">
        <v>0</v>
      </c>
      <c r="B1152" s="6" t="s">
        <v>6306</v>
      </c>
      <c r="C1152" s="7">
        <v>374.9</v>
      </c>
      <c r="D1152" s="8" t="s">
        <v>6307</v>
      </c>
      <c r="E1152" s="8" t="s">
        <v>6308</v>
      </c>
      <c r="F1152" s="8" t="s">
        <v>6309</v>
      </c>
      <c r="G1152" s="6" t="s">
        <v>51</v>
      </c>
      <c r="H1152" s="6" t="s">
        <v>84</v>
      </c>
      <c r="I1152" s="8" t="s">
        <v>251</v>
      </c>
      <c r="J1152" s="9">
        <v>1</v>
      </c>
      <c r="K1152" s="9">
        <v>120</v>
      </c>
      <c r="L1152" s="9">
        <v>2018</v>
      </c>
      <c r="M1152" s="8" t="s">
        <v>6310</v>
      </c>
      <c r="N1152" s="8" t="s">
        <v>40</v>
      </c>
      <c r="O1152" s="8" t="s">
        <v>41</v>
      </c>
      <c r="P1152" s="6" t="s">
        <v>42</v>
      </c>
      <c r="Q1152" s="8" t="s">
        <v>43</v>
      </c>
      <c r="R1152" s="10" t="s">
        <v>310</v>
      </c>
      <c r="S1152" s="11"/>
      <c r="T1152" s="6"/>
      <c r="U1152" s="28" t="str">
        <f>HYPERLINK("https://media.infra-m.ru/0925/0925869/cover/925869.jpg", "Обложка")</f>
        <v>Обложка</v>
      </c>
      <c r="V1152" s="28" t="str">
        <f>HYPERLINK("https://znanium.com/catalog/product/925869", "Ознакомиться")</f>
        <v>Ознакомиться</v>
      </c>
      <c r="W1152" s="8" t="s">
        <v>170</v>
      </c>
      <c r="X1152" s="6"/>
      <c r="Y1152" s="6"/>
      <c r="Z1152" s="6"/>
      <c r="AA1152" s="6" t="s">
        <v>289</v>
      </c>
    </row>
    <row r="1153" spans="1:27" s="4" customFormat="1" ht="42" customHeight="1">
      <c r="A1153" s="5">
        <v>0</v>
      </c>
      <c r="B1153" s="6" t="s">
        <v>6311</v>
      </c>
      <c r="C1153" s="7">
        <v>894.9</v>
      </c>
      <c r="D1153" s="8" t="s">
        <v>6312</v>
      </c>
      <c r="E1153" s="8" t="s">
        <v>6313</v>
      </c>
      <c r="F1153" s="8" t="s">
        <v>6314</v>
      </c>
      <c r="G1153" s="6" t="s">
        <v>51</v>
      </c>
      <c r="H1153" s="6" t="s">
        <v>38</v>
      </c>
      <c r="I1153" s="8"/>
      <c r="J1153" s="9">
        <v>1</v>
      </c>
      <c r="K1153" s="9">
        <v>224</v>
      </c>
      <c r="L1153" s="9">
        <v>2023</v>
      </c>
      <c r="M1153" s="8" t="s">
        <v>6315</v>
      </c>
      <c r="N1153" s="8" t="s">
        <v>40</v>
      </c>
      <c r="O1153" s="8" t="s">
        <v>41</v>
      </c>
      <c r="P1153" s="6" t="s">
        <v>42</v>
      </c>
      <c r="Q1153" s="8" t="s">
        <v>43</v>
      </c>
      <c r="R1153" s="10" t="s">
        <v>6316</v>
      </c>
      <c r="S1153" s="11"/>
      <c r="T1153" s="6"/>
      <c r="U1153" s="28" t="str">
        <f>HYPERLINK("https://media.infra-m.ru/1874/1874054/cover/1874054.jpg", "Обложка")</f>
        <v>Обложка</v>
      </c>
      <c r="V1153" s="28" t="str">
        <f>HYPERLINK("https://znanium.com/catalog/product/1234919", "Ознакомиться")</f>
        <v>Ознакомиться</v>
      </c>
      <c r="W1153" s="8" t="s">
        <v>3167</v>
      </c>
      <c r="X1153" s="6"/>
      <c r="Y1153" s="6"/>
      <c r="Z1153" s="6"/>
      <c r="AA1153" s="6" t="s">
        <v>289</v>
      </c>
    </row>
    <row r="1154" spans="1:27" s="4" customFormat="1" ht="42" customHeight="1">
      <c r="A1154" s="5">
        <v>0</v>
      </c>
      <c r="B1154" s="6" t="s">
        <v>6317</v>
      </c>
      <c r="C1154" s="13">
        <v>1544.9</v>
      </c>
      <c r="D1154" s="8" t="s">
        <v>6318</v>
      </c>
      <c r="E1154" s="8" t="s">
        <v>6319</v>
      </c>
      <c r="F1154" s="8" t="s">
        <v>593</v>
      </c>
      <c r="G1154" s="6" t="s">
        <v>58</v>
      </c>
      <c r="H1154" s="6" t="s">
        <v>38</v>
      </c>
      <c r="I1154" s="8"/>
      <c r="J1154" s="9">
        <v>1</v>
      </c>
      <c r="K1154" s="9">
        <v>368</v>
      </c>
      <c r="L1154" s="9">
        <v>2022</v>
      </c>
      <c r="M1154" s="8" t="s">
        <v>6320</v>
      </c>
      <c r="N1154" s="8" t="s">
        <v>40</v>
      </c>
      <c r="O1154" s="8" t="s">
        <v>41</v>
      </c>
      <c r="P1154" s="6" t="s">
        <v>42</v>
      </c>
      <c r="Q1154" s="8" t="s">
        <v>43</v>
      </c>
      <c r="R1154" s="10" t="s">
        <v>896</v>
      </c>
      <c r="S1154" s="11"/>
      <c r="T1154" s="6"/>
      <c r="U1154" s="28" t="str">
        <f>HYPERLINK("https://media.infra-m.ru/1875/1875349/cover/1875349.jpg", "Обложка")</f>
        <v>Обложка</v>
      </c>
      <c r="V1154" s="28" t="str">
        <f>HYPERLINK("https://znanium.com/catalog/product/1078118", "Ознакомиться")</f>
        <v>Ознакомиться</v>
      </c>
      <c r="W1154" s="8" t="s">
        <v>114</v>
      </c>
      <c r="X1154" s="6"/>
      <c r="Y1154" s="6"/>
      <c r="Z1154" s="6"/>
      <c r="AA1154" s="6" t="s">
        <v>524</v>
      </c>
    </row>
    <row r="1155" spans="1:27" s="4" customFormat="1" ht="44.1" customHeight="1">
      <c r="A1155" s="5">
        <v>0</v>
      </c>
      <c r="B1155" s="6" t="s">
        <v>6321</v>
      </c>
      <c r="C1155" s="13">
        <v>1020</v>
      </c>
      <c r="D1155" s="8" t="s">
        <v>6322</v>
      </c>
      <c r="E1155" s="8" t="s">
        <v>6323</v>
      </c>
      <c r="F1155" s="8" t="s">
        <v>6324</v>
      </c>
      <c r="G1155" s="6" t="s">
        <v>51</v>
      </c>
      <c r="H1155" s="6" t="s">
        <v>52</v>
      </c>
      <c r="I1155" s="8" t="s">
        <v>251</v>
      </c>
      <c r="J1155" s="9">
        <v>1</v>
      </c>
      <c r="K1155" s="9">
        <v>228</v>
      </c>
      <c r="L1155" s="9">
        <v>2022</v>
      </c>
      <c r="M1155" s="8" t="s">
        <v>6325</v>
      </c>
      <c r="N1155" s="8" t="s">
        <v>40</v>
      </c>
      <c r="O1155" s="8" t="s">
        <v>41</v>
      </c>
      <c r="P1155" s="6" t="s">
        <v>42</v>
      </c>
      <c r="Q1155" s="8" t="s">
        <v>43</v>
      </c>
      <c r="R1155" s="10" t="s">
        <v>502</v>
      </c>
      <c r="S1155" s="11"/>
      <c r="T1155" s="6"/>
      <c r="U1155" s="28" t="str">
        <f>HYPERLINK("https://media.infra-m.ru/1816/1816933/cover/1816933.jpg", "Обложка")</f>
        <v>Обложка</v>
      </c>
      <c r="V1155" s="28" t="str">
        <f>HYPERLINK("https://znanium.com/catalog/product/1816933", "Ознакомиться")</f>
        <v>Ознакомиться</v>
      </c>
      <c r="W1155" s="8" t="s">
        <v>726</v>
      </c>
      <c r="X1155" s="6"/>
      <c r="Y1155" s="6"/>
      <c r="Z1155" s="6"/>
      <c r="AA1155" s="6" t="s">
        <v>148</v>
      </c>
    </row>
    <row r="1156" spans="1:27" s="4" customFormat="1" ht="42" customHeight="1">
      <c r="A1156" s="5">
        <v>0</v>
      </c>
      <c r="B1156" s="6" t="s">
        <v>6326</v>
      </c>
      <c r="C1156" s="13">
        <v>2070</v>
      </c>
      <c r="D1156" s="8" t="s">
        <v>6327</v>
      </c>
      <c r="E1156" s="8" t="s">
        <v>6328</v>
      </c>
      <c r="F1156" s="8" t="s">
        <v>6329</v>
      </c>
      <c r="G1156" s="6" t="s">
        <v>37</v>
      </c>
      <c r="H1156" s="6" t="s">
        <v>38</v>
      </c>
      <c r="I1156" s="8"/>
      <c r="J1156" s="9">
        <v>1</v>
      </c>
      <c r="K1156" s="9">
        <v>576</v>
      </c>
      <c r="L1156" s="9">
        <v>2021</v>
      </c>
      <c r="M1156" s="8" t="s">
        <v>6330</v>
      </c>
      <c r="N1156" s="8" t="s">
        <v>40</v>
      </c>
      <c r="O1156" s="8" t="s">
        <v>41</v>
      </c>
      <c r="P1156" s="6" t="s">
        <v>42</v>
      </c>
      <c r="Q1156" s="8" t="s">
        <v>43</v>
      </c>
      <c r="R1156" s="10" t="s">
        <v>304</v>
      </c>
      <c r="S1156" s="11"/>
      <c r="T1156" s="6"/>
      <c r="U1156" s="28" t="str">
        <f>HYPERLINK("https://media.infra-m.ru/1227/1227192/cover/1227192.jpg", "Обложка")</f>
        <v>Обложка</v>
      </c>
      <c r="V1156" s="28" t="str">
        <f>HYPERLINK("https://znanium.com/catalog/product/1227192", "Ознакомиться")</f>
        <v>Ознакомиться</v>
      </c>
      <c r="W1156" s="8" t="s">
        <v>1356</v>
      </c>
      <c r="X1156" s="6"/>
      <c r="Y1156" s="6"/>
      <c r="Z1156" s="6"/>
      <c r="AA1156" s="6" t="s">
        <v>415</v>
      </c>
    </row>
    <row r="1157" spans="1:27" s="4" customFormat="1" ht="51.95" customHeight="1">
      <c r="A1157" s="5">
        <v>0</v>
      </c>
      <c r="B1157" s="6" t="s">
        <v>6331</v>
      </c>
      <c r="C1157" s="7">
        <v>794.9</v>
      </c>
      <c r="D1157" s="8" t="s">
        <v>6332</v>
      </c>
      <c r="E1157" s="8" t="s">
        <v>6333</v>
      </c>
      <c r="F1157" s="8" t="s">
        <v>6334</v>
      </c>
      <c r="G1157" s="6" t="s">
        <v>37</v>
      </c>
      <c r="H1157" s="6" t="s">
        <v>38</v>
      </c>
      <c r="I1157" s="8"/>
      <c r="J1157" s="9">
        <v>1</v>
      </c>
      <c r="K1157" s="9">
        <v>176</v>
      </c>
      <c r="L1157" s="9">
        <v>2023</v>
      </c>
      <c r="M1157" s="8" t="s">
        <v>6335</v>
      </c>
      <c r="N1157" s="8" t="s">
        <v>40</v>
      </c>
      <c r="O1157" s="8" t="s">
        <v>41</v>
      </c>
      <c r="P1157" s="6" t="s">
        <v>75</v>
      </c>
      <c r="Q1157" s="8" t="s">
        <v>157</v>
      </c>
      <c r="R1157" s="10" t="s">
        <v>122</v>
      </c>
      <c r="S1157" s="11"/>
      <c r="T1157" s="6"/>
      <c r="U1157" s="28" t="str">
        <f>HYPERLINK("https://media.infra-m.ru/2006/2006933/cover/2006933.jpg", "Обложка")</f>
        <v>Обложка</v>
      </c>
      <c r="V1157" s="28" t="str">
        <f>HYPERLINK("https://znanium.com/catalog/product/1201974", "Ознакомиться")</f>
        <v>Ознакомиться</v>
      </c>
      <c r="W1157" s="8" t="s">
        <v>114</v>
      </c>
      <c r="X1157" s="6"/>
      <c r="Y1157" s="6"/>
      <c r="Z1157" s="6"/>
      <c r="AA1157" s="6" t="s">
        <v>320</v>
      </c>
    </row>
    <row r="1158" spans="1:27" s="4" customFormat="1" ht="51.95" customHeight="1">
      <c r="A1158" s="5">
        <v>0</v>
      </c>
      <c r="B1158" s="6" t="s">
        <v>6336</v>
      </c>
      <c r="C1158" s="7">
        <v>500</v>
      </c>
      <c r="D1158" s="8" t="s">
        <v>6337</v>
      </c>
      <c r="E1158" s="8" t="s">
        <v>6338</v>
      </c>
      <c r="F1158" s="8" t="s">
        <v>6334</v>
      </c>
      <c r="G1158" s="6" t="s">
        <v>58</v>
      </c>
      <c r="H1158" s="6" t="s">
        <v>38</v>
      </c>
      <c r="I1158" s="8"/>
      <c r="J1158" s="9">
        <v>1</v>
      </c>
      <c r="K1158" s="9">
        <v>160</v>
      </c>
      <c r="L1158" s="9">
        <v>2018</v>
      </c>
      <c r="M1158" s="8" t="s">
        <v>6339</v>
      </c>
      <c r="N1158" s="8" t="s">
        <v>40</v>
      </c>
      <c r="O1158" s="8" t="s">
        <v>41</v>
      </c>
      <c r="P1158" s="6" t="s">
        <v>75</v>
      </c>
      <c r="Q1158" s="8" t="s">
        <v>157</v>
      </c>
      <c r="R1158" s="10" t="s">
        <v>122</v>
      </c>
      <c r="S1158" s="11"/>
      <c r="T1158" s="6"/>
      <c r="U1158" s="28" t="str">
        <f>HYPERLINK("https://media.infra-m.ru/0948/0948181/cover/948181.jpg", "Обложка")</f>
        <v>Обложка</v>
      </c>
      <c r="V1158" s="28" t="str">
        <f>HYPERLINK("https://znanium.com/catalog/product/1201974", "Ознакомиться")</f>
        <v>Ознакомиться</v>
      </c>
      <c r="W1158" s="8" t="s">
        <v>114</v>
      </c>
      <c r="X1158" s="6"/>
      <c r="Y1158" s="6"/>
      <c r="Z1158" s="6"/>
      <c r="AA1158" s="6" t="s">
        <v>46</v>
      </c>
    </row>
    <row r="1159" spans="1:27" s="4" customFormat="1" ht="42" customHeight="1">
      <c r="A1159" s="5">
        <v>0</v>
      </c>
      <c r="B1159" s="6" t="s">
        <v>6340</v>
      </c>
      <c r="C1159" s="13">
        <v>1060</v>
      </c>
      <c r="D1159" s="8" t="s">
        <v>6341</v>
      </c>
      <c r="E1159" s="8" t="s">
        <v>6342</v>
      </c>
      <c r="F1159" s="8" t="s">
        <v>6343</v>
      </c>
      <c r="G1159" s="6" t="s">
        <v>37</v>
      </c>
      <c r="H1159" s="6" t="s">
        <v>38</v>
      </c>
      <c r="I1159" s="8"/>
      <c r="J1159" s="9">
        <v>1</v>
      </c>
      <c r="K1159" s="9">
        <v>272</v>
      </c>
      <c r="L1159" s="9">
        <v>2022</v>
      </c>
      <c r="M1159" s="8" t="s">
        <v>6344</v>
      </c>
      <c r="N1159" s="8" t="s">
        <v>40</v>
      </c>
      <c r="O1159" s="8" t="s">
        <v>41</v>
      </c>
      <c r="P1159" s="6" t="s">
        <v>42</v>
      </c>
      <c r="Q1159" s="8" t="s">
        <v>43</v>
      </c>
      <c r="R1159" s="10" t="s">
        <v>69</v>
      </c>
      <c r="S1159" s="11"/>
      <c r="T1159" s="6"/>
      <c r="U1159" s="28" t="str">
        <f>HYPERLINK("https://media.infra-m.ru/1859/1859983/cover/1859983.jpg", "Обложка")</f>
        <v>Обложка</v>
      </c>
      <c r="V1159" s="28" t="str">
        <f>HYPERLINK("https://znanium.com/catalog/product/1859983", "Ознакомиться")</f>
        <v>Ознакомиться</v>
      </c>
      <c r="W1159" s="8" t="s">
        <v>700</v>
      </c>
      <c r="X1159" s="6"/>
      <c r="Y1159" s="6"/>
      <c r="Z1159" s="6"/>
      <c r="AA1159" s="6" t="s">
        <v>115</v>
      </c>
    </row>
    <row r="1160" spans="1:27" s="4" customFormat="1" ht="51.95" customHeight="1">
      <c r="A1160" s="5">
        <v>0</v>
      </c>
      <c r="B1160" s="6" t="s">
        <v>6345</v>
      </c>
      <c r="C1160" s="7">
        <v>524</v>
      </c>
      <c r="D1160" s="8" t="s">
        <v>6346</v>
      </c>
      <c r="E1160" s="8" t="s">
        <v>6347</v>
      </c>
      <c r="F1160" s="8" t="s">
        <v>6348</v>
      </c>
      <c r="G1160" s="6" t="s">
        <v>51</v>
      </c>
      <c r="H1160" s="6" t="s">
        <v>84</v>
      </c>
      <c r="I1160" s="8" t="s">
        <v>251</v>
      </c>
      <c r="J1160" s="9">
        <v>1</v>
      </c>
      <c r="K1160" s="9">
        <v>111</v>
      </c>
      <c r="L1160" s="9">
        <v>2023</v>
      </c>
      <c r="M1160" s="8" t="s">
        <v>6349</v>
      </c>
      <c r="N1160" s="8" t="s">
        <v>40</v>
      </c>
      <c r="O1160" s="8" t="s">
        <v>41</v>
      </c>
      <c r="P1160" s="6" t="s">
        <v>42</v>
      </c>
      <c r="Q1160" s="8" t="s">
        <v>43</v>
      </c>
      <c r="R1160" s="10" t="s">
        <v>1792</v>
      </c>
      <c r="S1160" s="11"/>
      <c r="T1160" s="6"/>
      <c r="U1160" s="28" t="str">
        <f>HYPERLINK("https://media.infra-m.ru/2021/2021405/cover/2021405.jpg", "Обложка")</f>
        <v>Обложка</v>
      </c>
      <c r="V1160" s="28" t="str">
        <f>HYPERLINK("https://znanium.com/catalog/product/1205374", "Ознакомиться")</f>
        <v>Ознакомиться</v>
      </c>
      <c r="W1160" s="8" t="s">
        <v>3088</v>
      </c>
      <c r="X1160" s="6"/>
      <c r="Y1160" s="6"/>
      <c r="Z1160" s="6"/>
      <c r="AA1160" s="6" t="s">
        <v>79</v>
      </c>
    </row>
    <row r="1161" spans="1:27" s="4" customFormat="1" ht="42" customHeight="1">
      <c r="A1161" s="5">
        <v>0</v>
      </c>
      <c r="B1161" s="6" t="s">
        <v>6350</v>
      </c>
      <c r="C1161" s="7">
        <v>830</v>
      </c>
      <c r="D1161" s="8" t="s">
        <v>6351</v>
      </c>
      <c r="E1161" s="8" t="s">
        <v>6352</v>
      </c>
      <c r="F1161" s="8" t="s">
        <v>6353</v>
      </c>
      <c r="G1161" s="6" t="s">
        <v>51</v>
      </c>
      <c r="H1161" s="6" t="s">
        <v>84</v>
      </c>
      <c r="I1161" s="8" t="s">
        <v>85</v>
      </c>
      <c r="J1161" s="9">
        <v>1</v>
      </c>
      <c r="K1161" s="9">
        <v>184</v>
      </c>
      <c r="L1161" s="9">
        <v>2023</v>
      </c>
      <c r="M1161" s="8" t="s">
        <v>6354</v>
      </c>
      <c r="N1161" s="8" t="s">
        <v>40</v>
      </c>
      <c r="O1161" s="8" t="s">
        <v>41</v>
      </c>
      <c r="P1161" s="6" t="s">
        <v>42</v>
      </c>
      <c r="Q1161" s="8" t="s">
        <v>43</v>
      </c>
      <c r="R1161" s="10" t="s">
        <v>310</v>
      </c>
      <c r="S1161" s="11"/>
      <c r="T1161" s="6"/>
      <c r="U1161" s="28" t="str">
        <f>HYPERLINK("https://media.infra-m.ru/2011/2011479/cover/2011479.jpg", "Обложка")</f>
        <v>Обложка</v>
      </c>
      <c r="V1161" s="28" t="str">
        <f>HYPERLINK("https://znanium.com/catalog/product/2011479", "Ознакомиться")</f>
        <v>Ознакомиться</v>
      </c>
      <c r="W1161" s="8" t="s">
        <v>45</v>
      </c>
      <c r="X1161" s="6"/>
      <c r="Y1161" s="6"/>
      <c r="Z1161" s="6"/>
      <c r="AA1161" s="6" t="s">
        <v>298</v>
      </c>
    </row>
    <row r="1162" spans="1:27" s="4" customFormat="1" ht="51.95" customHeight="1">
      <c r="A1162" s="5">
        <v>0</v>
      </c>
      <c r="B1162" s="6" t="s">
        <v>6355</v>
      </c>
      <c r="C1162" s="7">
        <v>450</v>
      </c>
      <c r="D1162" s="8" t="s">
        <v>6356</v>
      </c>
      <c r="E1162" s="8" t="s">
        <v>6357</v>
      </c>
      <c r="F1162" s="8" t="s">
        <v>6358</v>
      </c>
      <c r="G1162" s="6" t="s">
        <v>51</v>
      </c>
      <c r="H1162" s="6" t="s">
        <v>84</v>
      </c>
      <c r="I1162" s="8" t="s">
        <v>251</v>
      </c>
      <c r="J1162" s="9">
        <v>1</v>
      </c>
      <c r="K1162" s="9">
        <v>128</v>
      </c>
      <c r="L1162" s="9">
        <v>2020</v>
      </c>
      <c r="M1162" s="8" t="s">
        <v>6359</v>
      </c>
      <c r="N1162" s="8" t="s">
        <v>40</v>
      </c>
      <c r="O1162" s="8" t="s">
        <v>41</v>
      </c>
      <c r="P1162" s="6" t="s">
        <v>42</v>
      </c>
      <c r="Q1162" s="8" t="s">
        <v>43</v>
      </c>
      <c r="R1162" s="10" t="s">
        <v>6360</v>
      </c>
      <c r="S1162" s="11"/>
      <c r="T1162" s="6"/>
      <c r="U1162" s="28" t="str">
        <f>HYPERLINK("https://media.infra-m.ru/1045/1045386/cover/1045386.jpg", "Обложка")</f>
        <v>Обложка</v>
      </c>
      <c r="V1162" s="28" t="str">
        <f>HYPERLINK("https://znanium.com/catalog/product/1045386", "Ознакомиться")</f>
        <v>Ознакомиться</v>
      </c>
      <c r="W1162" s="8" t="s">
        <v>1356</v>
      </c>
      <c r="X1162" s="6"/>
      <c r="Y1162" s="6"/>
      <c r="Z1162" s="6"/>
      <c r="AA1162" s="6" t="s">
        <v>415</v>
      </c>
    </row>
    <row r="1163" spans="1:27" s="4" customFormat="1" ht="51.95" customHeight="1">
      <c r="A1163" s="5">
        <v>0</v>
      </c>
      <c r="B1163" s="6" t="s">
        <v>6361</v>
      </c>
      <c r="C1163" s="13">
        <v>1550</v>
      </c>
      <c r="D1163" s="8" t="s">
        <v>6362</v>
      </c>
      <c r="E1163" s="8" t="s">
        <v>6363</v>
      </c>
      <c r="F1163" s="8" t="s">
        <v>6364</v>
      </c>
      <c r="G1163" s="6" t="s">
        <v>37</v>
      </c>
      <c r="H1163" s="6" t="s">
        <v>38</v>
      </c>
      <c r="I1163" s="8"/>
      <c r="J1163" s="9">
        <v>1</v>
      </c>
      <c r="K1163" s="9">
        <v>336</v>
      </c>
      <c r="L1163" s="9">
        <v>2024</v>
      </c>
      <c r="M1163" s="8" t="s">
        <v>6365</v>
      </c>
      <c r="N1163" s="8" t="s">
        <v>40</v>
      </c>
      <c r="O1163" s="8" t="s">
        <v>41</v>
      </c>
      <c r="P1163" s="6" t="s">
        <v>42</v>
      </c>
      <c r="Q1163" s="8" t="s">
        <v>43</v>
      </c>
      <c r="R1163" s="10" t="s">
        <v>584</v>
      </c>
      <c r="S1163" s="11"/>
      <c r="T1163" s="6"/>
      <c r="U1163" s="28" t="str">
        <f>HYPERLINK("https://media.infra-m.ru/2114/2114307/cover/2114307.jpg", "Обложка")</f>
        <v>Обложка</v>
      </c>
      <c r="V1163" s="28" t="str">
        <f>HYPERLINK("https://znanium.com/catalog/product/2114307", "Ознакомиться")</f>
        <v>Ознакомиться</v>
      </c>
      <c r="W1163" s="8" t="s">
        <v>712</v>
      </c>
      <c r="X1163" s="6"/>
      <c r="Y1163" s="6"/>
      <c r="Z1163" s="6"/>
      <c r="AA1163" s="6" t="s">
        <v>62</v>
      </c>
    </row>
    <row r="1164" spans="1:27" s="4" customFormat="1" ht="42" customHeight="1">
      <c r="A1164" s="5">
        <v>0</v>
      </c>
      <c r="B1164" s="6" t="s">
        <v>6366</v>
      </c>
      <c r="C1164" s="13">
        <v>1770</v>
      </c>
      <c r="D1164" s="8" t="s">
        <v>6367</v>
      </c>
      <c r="E1164" s="8" t="s">
        <v>6368</v>
      </c>
      <c r="F1164" s="8" t="s">
        <v>6369</v>
      </c>
      <c r="G1164" s="6" t="s">
        <v>58</v>
      </c>
      <c r="H1164" s="6" t="s">
        <v>38</v>
      </c>
      <c r="I1164" s="8"/>
      <c r="J1164" s="9">
        <v>1</v>
      </c>
      <c r="K1164" s="9">
        <v>380</v>
      </c>
      <c r="L1164" s="9">
        <v>2023</v>
      </c>
      <c r="M1164" s="8" t="s">
        <v>6370</v>
      </c>
      <c r="N1164" s="8" t="s">
        <v>40</v>
      </c>
      <c r="O1164" s="8" t="s">
        <v>41</v>
      </c>
      <c r="P1164" s="6" t="s">
        <v>75</v>
      </c>
      <c r="Q1164" s="8" t="s">
        <v>1199</v>
      </c>
      <c r="R1164" s="10" t="s">
        <v>3657</v>
      </c>
      <c r="S1164" s="11"/>
      <c r="T1164" s="6"/>
      <c r="U1164" s="28" t="str">
        <f>HYPERLINK("https://media.infra-m.ru/1877/1877327/cover/1877327.jpg", "Обложка")</f>
        <v>Обложка</v>
      </c>
      <c r="V1164" s="28" t="str">
        <f>HYPERLINK("https://znanium.com/catalog/product/1877327", "Ознакомиться")</f>
        <v>Ознакомиться</v>
      </c>
      <c r="W1164" s="8" t="s">
        <v>114</v>
      </c>
      <c r="X1164" s="6"/>
      <c r="Y1164" s="6"/>
      <c r="Z1164" s="6"/>
      <c r="AA1164" s="6" t="s">
        <v>408</v>
      </c>
    </row>
    <row r="1165" spans="1:27" s="4" customFormat="1" ht="42" customHeight="1">
      <c r="A1165" s="5">
        <v>0</v>
      </c>
      <c r="B1165" s="6" t="s">
        <v>6371</v>
      </c>
      <c r="C1165" s="13">
        <v>2300</v>
      </c>
      <c r="D1165" s="8" t="s">
        <v>6372</v>
      </c>
      <c r="E1165" s="8" t="s">
        <v>6373</v>
      </c>
      <c r="F1165" s="8" t="s">
        <v>6145</v>
      </c>
      <c r="G1165" s="6" t="s">
        <v>58</v>
      </c>
      <c r="H1165" s="6" t="s">
        <v>84</v>
      </c>
      <c r="I1165" s="8" t="s">
        <v>6374</v>
      </c>
      <c r="J1165" s="9">
        <v>1</v>
      </c>
      <c r="K1165" s="9">
        <v>486</v>
      </c>
      <c r="L1165" s="9">
        <v>2024</v>
      </c>
      <c r="M1165" s="8" t="s">
        <v>6375</v>
      </c>
      <c r="N1165" s="8" t="s">
        <v>40</v>
      </c>
      <c r="O1165" s="8" t="s">
        <v>41</v>
      </c>
      <c r="P1165" s="6" t="s">
        <v>2498</v>
      </c>
      <c r="Q1165" s="8" t="s">
        <v>680</v>
      </c>
      <c r="R1165" s="10" t="s">
        <v>6376</v>
      </c>
      <c r="S1165" s="11"/>
      <c r="T1165" s="6"/>
      <c r="U1165" s="28" t="str">
        <f>HYPERLINK("https://media.infra-m.ru/1876/1876529/cover/1876529.jpg", "Обложка")</f>
        <v>Обложка</v>
      </c>
      <c r="V1165" s="28" t="str">
        <f>HYPERLINK("https://znanium.com/catalog/product/1876529", "Ознакомиться")</f>
        <v>Ознакомиться</v>
      </c>
      <c r="W1165" s="8" t="s">
        <v>813</v>
      </c>
      <c r="X1165" s="6" t="s">
        <v>381</v>
      </c>
      <c r="Y1165" s="6"/>
      <c r="Z1165" s="6"/>
      <c r="AA1165" s="6" t="s">
        <v>100</v>
      </c>
    </row>
    <row r="1166" spans="1:27" s="4" customFormat="1" ht="44.1" customHeight="1">
      <c r="A1166" s="5">
        <v>0</v>
      </c>
      <c r="B1166" s="6" t="s">
        <v>6377</v>
      </c>
      <c r="C1166" s="13">
        <v>1684.9</v>
      </c>
      <c r="D1166" s="8" t="s">
        <v>6378</v>
      </c>
      <c r="E1166" s="8" t="s">
        <v>6379</v>
      </c>
      <c r="F1166" s="8" t="s">
        <v>3487</v>
      </c>
      <c r="G1166" s="6" t="s">
        <v>58</v>
      </c>
      <c r="H1166" s="6" t="s">
        <v>38</v>
      </c>
      <c r="I1166" s="8"/>
      <c r="J1166" s="9">
        <v>1</v>
      </c>
      <c r="K1166" s="9">
        <v>400</v>
      </c>
      <c r="L1166" s="9">
        <v>2022</v>
      </c>
      <c r="M1166" s="8" t="s">
        <v>6380</v>
      </c>
      <c r="N1166" s="8" t="s">
        <v>40</v>
      </c>
      <c r="O1166" s="8" t="s">
        <v>41</v>
      </c>
      <c r="P1166" s="6" t="s">
        <v>42</v>
      </c>
      <c r="Q1166" s="8" t="s">
        <v>43</v>
      </c>
      <c r="R1166" s="10" t="s">
        <v>718</v>
      </c>
      <c r="S1166" s="11"/>
      <c r="T1166" s="6"/>
      <c r="U1166" s="28" t="str">
        <f>HYPERLINK("https://media.infra-m.ru/1875/1875343/cover/1875343.jpg", "Обложка")</f>
        <v>Обложка</v>
      </c>
      <c r="V1166" s="28" t="str">
        <f>HYPERLINK("https://znanium.com/catalog/product/988309", "Ознакомиться")</f>
        <v>Ознакомиться</v>
      </c>
      <c r="W1166" s="8" t="s">
        <v>712</v>
      </c>
      <c r="X1166" s="6"/>
      <c r="Y1166" s="6"/>
      <c r="Z1166" s="6"/>
      <c r="AA1166" s="6" t="s">
        <v>622</v>
      </c>
    </row>
    <row r="1167" spans="1:27" s="4" customFormat="1" ht="51.95" customHeight="1">
      <c r="A1167" s="5">
        <v>0</v>
      </c>
      <c r="B1167" s="6" t="s">
        <v>6381</v>
      </c>
      <c r="C1167" s="7">
        <v>860</v>
      </c>
      <c r="D1167" s="8" t="s">
        <v>6382</v>
      </c>
      <c r="E1167" s="8" t="s">
        <v>6383</v>
      </c>
      <c r="F1167" s="8" t="s">
        <v>6384</v>
      </c>
      <c r="G1167" s="6" t="s">
        <v>37</v>
      </c>
      <c r="H1167" s="6" t="s">
        <v>38</v>
      </c>
      <c r="I1167" s="8"/>
      <c r="J1167" s="9">
        <v>1</v>
      </c>
      <c r="K1167" s="9">
        <v>192</v>
      </c>
      <c r="L1167" s="9">
        <v>2023</v>
      </c>
      <c r="M1167" s="8" t="s">
        <v>6385</v>
      </c>
      <c r="N1167" s="8" t="s">
        <v>40</v>
      </c>
      <c r="O1167" s="8" t="s">
        <v>41</v>
      </c>
      <c r="P1167" s="6" t="s">
        <v>42</v>
      </c>
      <c r="Q1167" s="8" t="s">
        <v>43</v>
      </c>
      <c r="R1167" s="10" t="s">
        <v>77</v>
      </c>
      <c r="S1167" s="11"/>
      <c r="T1167" s="6"/>
      <c r="U1167" s="28" t="str">
        <f>HYPERLINK("https://media.infra-m.ru/1973/1973508/cover/1973508.jpg", "Обложка")</f>
        <v>Обложка</v>
      </c>
      <c r="V1167" s="28" t="str">
        <f>HYPERLINK("https://znanium.com/catalog/product/1973508", "Ознакомиться")</f>
        <v>Ознакомиться</v>
      </c>
      <c r="W1167" s="8" t="s">
        <v>114</v>
      </c>
      <c r="X1167" s="6"/>
      <c r="Y1167" s="6"/>
      <c r="Z1167" s="6"/>
      <c r="AA1167" s="6" t="s">
        <v>79</v>
      </c>
    </row>
    <row r="1168" spans="1:27" s="4" customFormat="1" ht="51.95" customHeight="1">
      <c r="A1168" s="5">
        <v>0</v>
      </c>
      <c r="B1168" s="6" t="s">
        <v>6386</v>
      </c>
      <c r="C1168" s="13">
        <v>1424</v>
      </c>
      <c r="D1168" s="8" t="s">
        <v>6387</v>
      </c>
      <c r="E1168" s="8" t="s">
        <v>6388</v>
      </c>
      <c r="F1168" s="8" t="s">
        <v>6389</v>
      </c>
      <c r="G1168" s="6" t="s">
        <v>37</v>
      </c>
      <c r="H1168" s="6" t="s">
        <v>52</v>
      </c>
      <c r="I1168" s="8" t="s">
        <v>185</v>
      </c>
      <c r="J1168" s="9">
        <v>1</v>
      </c>
      <c r="K1168" s="9">
        <v>294</v>
      </c>
      <c r="L1168" s="9">
        <v>2024</v>
      </c>
      <c r="M1168" s="8" t="s">
        <v>6390</v>
      </c>
      <c r="N1168" s="8" t="s">
        <v>40</v>
      </c>
      <c r="O1168" s="8" t="s">
        <v>41</v>
      </c>
      <c r="P1168" s="6" t="s">
        <v>95</v>
      </c>
      <c r="Q1168" s="8" t="s">
        <v>76</v>
      </c>
      <c r="R1168" s="10" t="s">
        <v>6391</v>
      </c>
      <c r="S1168" s="11" t="s">
        <v>6392</v>
      </c>
      <c r="T1168" s="6"/>
      <c r="U1168" s="28" t="str">
        <f>HYPERLINK("https://media.infra-m.ru/2089/2089364/cover/2089364.jpg", "Обложка")</f>
        <v>Обложка</v>
      </c>
      <c r="V1168" s="28" t="str">
        <f>HYPERLINK("https://znanium.com/catalog/product/1860906", "Ознакомиться")</f>
        <v>Ознакомиться</v>
      </c>
      <c r="W1168" s="8" t="s">
        <v>6393</v>
      </c>
      <c r="X1168" s="6"/>
      <c r="Y1168" s="6"/>
      <c r="Z1168" s="6"/>
      <c r="AA1168" s="6" t="s">
        <v>2150</v>
      </c>
    </row>
    <row r="1169" spans="1:27" s="4" customFormat="1" ht="51.95" customHeight="1">
      <c r="A1169" s="5">
        <v>0</v>
      </c>
      <c r="B1169" s="6" t="s">
        <v>6394</v>
      </c>
      <c r="C1169" s="7">
        <v>444.9</v>
      </c>
      <c r="D1169" s="8" t="s">
        <v>6395</v>
      </c>
      <c r="E1169" s="8" t="s">
        <v>6396</v>
      </c>
      <c r="F1169" s="8" t="s">
        <v>6389</v>
      </c>
      <c r="G1169" s="6" t="s">
        <v>51</v>
      </c>
      <c r="H1169" s="6" t="s">
        <v>52</v>
      </c>
      <c r="I1169" s="8" t="s">
        <v>3026</v>
      </c>
      <c r="J1169" s="9">
        <v>1</v>
      </c>
      <c r="K1169" s="9">
        <v>152</v>
      </c>
      <c r="L1169" s="9">
        <v>2022</v>
      </c>
      <c r="M1169" s="8" t="s">
        <v>6397</v>
      </c>
      <c r="N1169" s="8" t="s">
        <v>40</v>
      </c>
      <c r="O1169" s="8" t="s">
        <v>41</v>
      </c>
      <c r="P1169" s="6" t="s">
        <v>75</v>
      </c>
      <c r="Q1169" s="8" t="s">
        <v>76</v>
      </c>
      <c r="R1169" s="10" t="s">
        <v>6398</v>
      </c>
      <c r="S1169" s="11"/>
      <c r="T1169" s="6"/>
      <c r="U1169" s="28" t="str">
        <f>HYPERLINK("https://media.infra-m.ru/1946/1946195/cover/1946195.jpg", "Обложка")</f>
        <v>Обложка</v>
      </c>
      <c r="V1169" s="28" t="str">
        <f>HYPERLINK("https://znanium.com/catalog/product/1925515", "Ознакомиться")</f>
        <v>Ознакомиться</v>
      </c>
      <c r="W1169" s="8" t="s">
        <v>6393</v>
      </c>
      <c r="X1169" s="6"/>
      <c r="Y1169" s="6"/>
      <c r="Z1169" s="6"/>
      <c r="AA1169" s="6" t="s">
        <v>215</v>
      </c>
    </row>
    <row r="1170" spans="1:27" s="4" customFormat="1" ht="51.95" customHeight="1">
      <c r="A1170" s="5">
        <v>0</v>
      </c>
      <c r="B1170" s="6" t="s">
        <v>6399</v>
      </c>
      <c r="C1170" s="13">
        <v>1084.9000000000001</v>
      </c>
      <c r="D1170" s="8" t="s">
        <v>6400</v>
      </c>
      <c r="E1170" s="8" t="s">
        <v>6401</v>
      </c>
      <c r="F1170" s="8" t="s">
        <v>6402</v>
      </c>
      <c r="G1170" s="6" t="s">
        <v>51</v>
      </c>
      <c r="H1170" s="6" t="s">
        <v>38</v>
      </c>
      <c r="I1170" s="8"/>
      <c r="J1170" s="9">
        <v>1</v>
      </c>
      <c r="K1170" s="9">
        <v>288</v>
      </c>
      <c r="L1170" s="9">
        <v>2023</v>
      </c>
      <c r="M1170" s="8" t="s">
        <v>6403</v>
      </c>
      <c r="N1170" s="8" t="s">
        <v>40</v>
      </c>
      <c r="O1170" s="8" t="s">
        <v>41</v>
      </c>
      <c r="P1170" s="6" t="s">
        <v>75</v>
      </c>
      <c r="Q1170" s="8" t="s">
        <v>76</v>
      </c>
      <c r="R1170" s="10" t="s">
        <v>6404</v>
      </c>
      <c r="S1170" s="11"/>
      <c r="T1170" s="6"/>
      <c r="U1170" s="28" t="str">
        <f>HYPERLINK("https://media.infra-m.ru/1907/1907133/cover/1907133.jpg", "Обложка")</f>
        <v>Обложка</v>
      </c>
      <c r="V1170" s="28" t="str">
        <f>HYPERLINK("https://znanium.com/catalog/product/1843628", "Ознакомиться")</f>
        <v>Ознакомиться</v>
      </c>
      <c r="W1170" s="8" t="s">
        <v>6405</v>
      </c>
      <c r="X1170" s="6"/>
      <c r="Y1170" s="6"/>
      <c r="Z1170" s="6"/>
      <c r="AA1170" s="6" t="s">
        <v>415</v>
      </c>
    </row>
    <row r="1171" spans="1:27" s="4" customFormat="1" ht="51.95" customHeight="1">
      <c r="A1171" s="5">
        <v>0</v>
      </c>
      <c r="B1171" s="6" t="s">
        <v>6406</v>
      </c>
      <c r="C1171" s="13">
        <v>2400</v>
      </c>
      <c r="D1171" s="8" t="s">
        <v>6407</v>
      </c>
      <c r="E1171" s="8" t="s">
        <v>6408</v>
      </c>
      <c r="F1171" s="8" t="s">
        <v>6409</v>
      </c>
      <c r="G1171" s="6" t="s">
        <v>37</v>
      </c>
      <c r="H1171" s="6" t="s">
        <v>38</v>
      </c>
      <c r="I1171" s="8"/>
      <c r="J1171" s="9">
        <v>1</v>
      </c>
      <c r="K1171" s="9">
        <v>688</v>
      </c>
      <c r="L1171" s="9">
        <v>2023</v>
      </c>
      <c r="M1171" s="8" t="s">
        <v>6410</v>
      </c>
      <c r="N1171" s="8" t="s">
        <v>40</v>
      </c>
      <c r="O1171" s="8" t="s">
        <v>41</v>
      </c>
      <c r="P1171" s="6" t="s">
        <v>95</v>
      </c>
      <c r="Q1171" s="8" t="s">
        <v>1199</v>
      </c>
      <c r="R1171" s="10" t="s">
        <v>6411</v>
      </c>
      <c r="S1171" s="11"/>
      <c r="T1171" s="6"/>
      <c r="U1171" s="28" t="str">
        <f>HYPERLINK("https://media.infra-m.ru/1999/1999881/cover/1999881.jpg", "Обложка")</f>
        <v>Обложка</v>
      </c>
      <c r="V1171" s="28" t="str">
        <f>HYPERLINK("https://znanium.com/catalog/product/1977970", "Ознакомиться")</f>
        <v>Ознакомиться</v>
      </c>
      <c r="W1171" s="8" t="s">
        <v>5947</v>
      </c>
      <c r="X1171" s="6"/>
      <c r="Y1171" s="6"/>
      <c r="Z1171" s="6"/>
      <c r="AA1171" s="6" t="s">
        <v>115</v>
      </c>
    </row>
    <row r="1172" spans="1:27" s="4" customFormat="1" ht="51.95" customHeight="1">
      <c r="A1172" s="5">
        <v>0</v>
      </c>
      <c r="B1172" s="6" t="s">
        <v>6412</v>
      </c>
      <c r="C1172" s="13">
        <v>1984</v>
      </c>
      <c r="D1172" s="8" t="s">
        <v>6413</v>
      </c>
      <c r="E1172" s="8" t="s">
        <v>6414</v>
      </c>
      <c r="F1172" s="8" t="s">
        <v>6415</v>
      </c>
      <c r="G1172" s="6" t="s">
        <v>58</v>
      </c>
      <c r="H1172" s="6" t="s">
        <v>38</v>
      </c>
      <c r="I1172" s="8"/>
      <c r="J1172" s="9">
        <v>1</v>
      </c>
      <c r="K1172" s="9">
        <v>432</v>
      </c>
      <c r="L1172" s="9">
        <v>2024</v>
      </c>
      <c r="M1172" s="8" t="s">
        <v>6416</v>
      </c>
      <c r="N1172" s="8" t="s">
        <v>40</v>
      </c>
      <c r="O1172" s="8" t="s">
        <v>41</v>
      </c>
      <c r="P1172" s="6" t="s">
        <v>95</v>
      </c>
      <c r="Q1172" s="8" t="s">
        <v>76</v>
      </c>
      <c r="R1172" s="10" t="s">
        <v>6404</v>
      </c>
      <c r="S1172" s="11" t="s">
        <v>6417</v>
      </c>
      <c r="T1172" s="6"/>
      <c r="U1172" s="28" t="str">
        <f>HYPERLINK("https://media.infra-m.ru/2106/2106643/cover/2106643.jpg", "Обложка")</f>
        <v>Обложка</v>
      </c>
      <c r="V1172" s="28" t="str">
        <f>HYPERLINK("https://znanium.com/catalog/product/1859237", "Ознакомиться")</f>
        <v>Ознакомиться</v>
      </c>
      <c r="W1172" s="8" t="s">
        <v>5947</v>
      </c>
      <c r="X1172" s="6"/>
      <c r="Y1172" s="6"/>
      <c r="Z1172" s="6"/>
      <c r="AA1172" s="6" t="s">
        <v>3011</v>
      </c>
    </row>
    <row r="1173" spans="1:27" s="4" customFormat="1" ht="51.95" customHeight="1">
      <c r="A1173" s="5">
        <v>0</v>
      </c>
      <c r="B1173" s="6" t="s">
        <v>6418</v>
      </c>
      <c r="C1173" s="13">
        <v>1224.9000000000001</v>
      </c>
      <c r="D1173" s="8" t="s">
        <v>6419</v>
      </c>
      <c r="E1173" s="8" t="s">
        <v>6420</v>
      </c>
      <c r="F1173" s="8" t="s">
        <v>6421</v>
      </c>
      <c r="G1173" s="6" t="s">
        <v>37</v>
      </c>
      <c r="H1173" s="6" t="s">
        <v>38</v>
      </c>
      <c r="I1173" s="8"/>
      <c r="J1173" s="9">
        <v>1</v>
      </c>
      <c r="K1173" s="9">
        <v>272</v>
      </c>
      <c r="L1173" s="9">
        <v>2022</v>
      </c>
      <c r="M1173" s="8" t="s">
        <v>6422</v>
      </c>
      <c r="N1173" s="8" t="s">
        <v>40</v>
      </c>
      <c r="O1173" s="8" t="s">
        <v>41</v>
      </c>
      <c r="P1173" s="6" t="s">
        <v>1962</v>
      </c>
      <c r="Q1173" s="8" t="s">
        <v>76</v>
      </c>
      <c r="R1173" s="10" t="s">
        <v>3914</v>
      </c>
      <c r="S1173" s="11"/>
      <c r="T1173" s="6"/>
      <c r="U1173" s="28" t="str">
        <f>HYPERLINK("https://media.infra-m.ru/1914/1914647/cover/1914647.jpg", "Обложка")</f>
        <v>Обложка</v>
      </c>
      <c r="V1173" s="28" t="str">
        <f>HYPERLINK("https://znanium.com/catalog/product/1898744", "Ознакомиться")</f>
        <v>Ознакомиться</v>
      </c>
      <c r="W1173" s="8" t="s">
        <v>114</v>
      </c>
      <c r="X1173" s="6"/>
      <c r="Y1173" s="6"/>
      <c r="Z1173" s="6"/>
      <c r="AA1173" s="6" t="s">
        <v>148</v>
      </c>
    </row>
    <row r="1174" spans="1:27" s="4" customFormat="1" ht="42" customHeight="1">
      <c r="A1174" s="5">
        <v>0</v>
      </c>
      <c r="B1174" s="6" t="s">
        <v>6423</v>
      </c>
      <c r="C1174" s="7">
        <v>654.9</v>
      </c>
      <c r="D1174" s="8" t="s">
        <v>6424</v>
      </c>
      <c r="E1174" s="8" t="s">
        <v>6425</v>
      </c>
      <c r="F1174" s="8" t="s">
        <v>6426</v>
      </c>
      <c r="G1174" s="6" t="s">
        <v>51</v>
      </c>
      <c r="H1174" s="6" t="s">
        <v>84</v>
      </c>
      <c r="I1174" s="8" t="s">
        <v>85</v>
      </c>
      <c r="J1174" s="9">
        <v>1</v>
      </c>
      <c r="K1174" s="9">
        <v>168</v>
      </c>
      <c r="L1174" s="9">
        <v>2022</v>
      </c>
      <c r="M1174" s="8" t="s">
        <v>6427</v>
      </c>
      <c r="N1174" s="8" t="s">
        <v>40</v>
      </c>
      <c r="O1174" s="8" t="s">
        <v>41</v>
      </c>
      <c r="P1174" s="6" t="s">
        <v>811</v>
      </c>
      <c r="Q1174" s="8" t="s">
        <v>43</v>
      </c>
      <c r="R1174" s="10" t="s">
        <v>340</v>
      </c>
      <c r="S1174" s="11"/>
      <c r="T1174" s="6"/>
      <c r="U1174" s="28" t="str">
        <f>HYPERLINK("https://media.infra-m.ru/1861/1861790/cover/1861790.jpg", "Обложка")</f>
        <v>Обложка</v>
      </c>
      <c r="V1174" s="28" t="str">
        <f>HYPERLINK("https://znanium.com/catalog/product/1045778", "Ознакомиться")</f>
        <v>Ознакомиться</v>
      </c>
      <c r="W1174" s="8" t="s">
        <v>45</v>
      </c>
      <c r="X1174" s="6"/>
      <c r="Y1174" s="6"/>
      <c r="Z1174" s="6"/>
      <c r="AA1174" s="6" t="s">
        <v>148</v>
      </c>
    </row>
    <row r="1175" spans="1:27" s="4" customFormat="1" ht="42" customHeight="1">
      <c r="A1175" s="5">
        <v>0</v>
      </c>
      <c r="B1175" s="6" t="s">
        <v>6428</v>
      </c>
      <c r="C1175" s="13">
        <v>1994</v>
      </c>
      <c r="D1175" s="8" t="s">
        <v>6429</v>
      </c>
      <c r="E1175" s="8" t="s">
        <v>6430</v>
      </c>
      <c r="F1175" s="8" t="s">
        <v>1392</v>
      </c>
      <c r="G1175" s="6" t="s">
        <v>58</v>
      </c>
      <c r="H1175" s="6" t="s">
        <v>38</v>
      </c>
      <c r="I1175" s="8"/>
      <c r="J1175" s="9">
        <v>1</v>
      </c>
      <c r="K1175" s="9">
        <v>432</v>
      </c>
      <c r="L1175" s="9">
        <v>2024</v>
      </c>
      <c r="M1175" s="8" t="s">
        <v>6431</v>
      </c>
      <c r="N1175" s="8" t="s">
        <v>40</v>
      </c>
      <c r="O1175" s="8" t="s">
        <v>41</v>
      </c>
      <c r="P1175" s="6" t="s">
        <v>42</v>
      </c>
      <c r="Q1175" s="8" t="s">
        <v>43</v>
      </c>
      <c r="R1175" s="10" t="s">
        <v>340</v>
      </c>
      <c r="S1175" s="11"/>
      <c r="T1175" s="6"/>
      <c r="U1175" s="28" t="str">
        <f>HYPERLINK("https://media.infra-m.ru/1862/1862615/cover/1862615.jpg", "Обложка")</f>
        <v>Обложка</v>
      </c>
      <c r="V1175" s="28" t="str">
        <f>HYPERLINK("https://znanium.com/catalog/product/1085677", "Ознакомиться")</f>
        <v>Ознакомиться</v>
      </c>
      <c r="W1175" s="8" t="s">
        <v>45</v>
      </c>
      <c r="X1175" s="6"/>
      <c r="Y1175" s="6"/>
      <c r="Z1175" s="6"/>
      <c r="AA1175" s="6" t="s">
        <v>148</v>
      </c>
    </row>
    <row r="1176" spans="1:27" s="4" customFormat="1" ht="51.95" customHeight="1">
      <c r="A1176" s="5">
        <v>0</v>
      </c>
      <c r="B1176" s="6" t="s">
        <v>6432</v>
      </c>
      <c r="C1176" s="13">
        <v>2650</v>
      </c>
      <c r="D1176" s="8" t="s">
        <v>6433</v>
      </c>
      <c r="E1176" s="8" t="s">
        <v>6434</v>
      </c>
      <c r="F1176" s="8" t="s">
        <v>6435</v>
      </c>
      <c r="G1176" s="6" t="s">
        <v>37</v>
      </c>
      <c r="H1176" s="6" t="s">
        <v>38</v>
      </c>
      <c r="I1176" s="8"/>
      <c r="J1176" s="9">
        <v>1</v>
      </c>
      <c r="K1176" s="9">
        <v>632</v>
      </c>
      <c r="L1176" s="9">
        <v>2023</v>
      </c>
      <c r="M1176" s="8" t="s">
        <v>6436</v>
      </c>
      <c r="N1176" s="8" t="s">
        <v>40</v>
      </c>
      <c r="O1176" s="8" t="s">
        <v>41</v>
      </c>
      <c r="P1176" s="6" t="s">
        <v>95</v>
      </c>
      <c r="Q1176" s="8" t="s">
        <v>76</v>
      </c>
      <c r="R1176" s="10" t="s">
        <v>6437</v>
      </c>
      <c r="S1176" s="11" t="s">
        <v>6438</v>
      </c>
      <c r="T1176" s="6"/>
      <c r="U1176" s="28" t="str">
        <f>HYPERLINK("https://media.infra-m.ru/1977/1977066/cover/1977066.jpg", "Обложка")</f>
        <v>Обложка</v>
      </c>
      <c r="V1176" s="28" t="str">
        <f>HYPERLINK("https://znanium.com/catalog/product/1904576", "Ознакомиться")</f>
        <v>Ознакомиться</v>
      </c>
      <c r="W1176" s="8" t="s">
        <v>6393</v>
      </c>
      <c r="X1176" s="6"/>
      <c r="Y1176" s="6"/>
      <c r="Z1176" s="6"/>
      <c r="AA1176" s="6" t="s">
        <v>5998</v>
      </c>
    </row>
    <row r="1177" spans="1:27" s="4" customFormat="1" ht="51.95" customHeight="1">
      <c r="A1177" s="5">
        <v>0</v>
      </c>
      <c r="B1177" s="6" t="s">
        <v>6439</v>
      </c>
      <c r="C1177" s="13">
        <v>2000</v>
      </c>
      <c r="D1177" s="8" t="s">
        <v>6440</v>
      </c>
      <c r="E1177" s="8" t="s">
        <v>6441</v>
      </c>
      <c r="F1177" s="8" t="s">
        <v>6442</v>
      </c>
      <c r="G1177" s="6" t="s">
        <v>37</v>
      </c>
      <c r="H1177" s="6" t="s">
        <v>38</v>
      </c>
      <c r="I1177" s="8"/>
      <c r="J1177" s="9">
        <v>1</v>
      </c>
      <c r="K1177" s="9">
        <v>528</v>
      </c>
      <c r="L1177" s="9">
        <v>2022</v>
      </c>
      <c r="M1177" s="8" t="s">
        <v>6443</v>
      </c>
      <c r="N1177" s="8" t="s">
        <v>40</v>
      </c>
      <c r="O1177" s="8" t="s">
        <v>41</v>
      </c>
      <c r="P1177" s="6" t="s">
        <v>95</v>
      </c>
      <c r="Q1177" s="8" t="s">
        <v>76</v>
      </c>
      <c r="R1177" s="10" t="s">
        <v>168</v>
      </c>
      <c r="S1177" s="11"/>
      <c r="T1177" s="6"/>
      <c r="U1177" s="28" t="str">
        <f>HYPERLINK("https://media.infra-m.ru/1860/1860856/cover/1860856.jpg", "Обложка")</f>
        <v>Обложка</v>
      </c>
      <c r="V1177" s="28" t="str">
        <f>HYPERLINK("https://znanium.com/catalog/product/1860856", "Ознакомиться")</f>
        <v>Ознакомиться</v>
      </c>
      <c r="W1177" s="8" t="s">
        <v>114</v>
      </c>
      <c r="X1177" s="6"/>
      <c r="Y1177" s="6"/>
      <c r="Z1177" s="6"/>
      <c r="AA1177" s="6" t="s">
        <v>148</v>
      </c>
    </row>
    <row r="1178" spans="1:27" s="4" customFormat="1" ht="51.95" customHeight="1">
      <c r="A1178" s="5">
        <v>0</v>
      </c>
      <c r="B1178" s="6" t="s">
        <v>6444</v>
      </c>
      <c r="C1178" s="7">
        <v>700</v>
      </c>
      <c r="D1178" s="8" t="s">
        <v>6445</v>
      </c>
      <c r="E1178" s="8" t="s">
        <v>6446</v>
      </c>
      <c r="F1178" s="8" t="s">
        <v>6447</v>
      </c>
      <c r="G1178" s="6" t="s">
        <v>58</v>
      </c>
      <c r="H1178" s="6" t="s">
        <v>84</v>
      </c>
      <c r="I1178" s="8" t="s">
        <v>1140</v>
      </c>
      <c r="J1178" s="9">
        <v>1</v>
      </c>
      <c r="K1178" s="9">
        <v>167</v>
      </c>
      <c r="L1178" s="9">
        <v>2022</v>
      </c>
      <c r="M1178" s="8" t="s">
        <v>6448</v>
      </c>
      <c r="N1178" s="8" t="s">
        <v>40</v>
      </c>
      <c r="O1178" s="8" t="s">
        <v>41</v>
      </c>
      <c r="P1178" s="6" t="s">
        <v>75</v>
      </c>
      <c r="Q1178" s="8" t="s">
        <v>1199</v>
      </c>
      <c r="R1178" s="10" t="s">
        <v>6449</v>
      </c>
      <c r="S1178" s="11" t="s">
        <v>6450</v>
      </c>
      <c r="T1178" s="6"/>
      <c r="U1178" s="28" t="str">
        <f>HYPERLINK("https://media.infra-m.ru/1844/1844338/cover/1844338.jpg", "Обложка")</f>
        <v>Обложка</v>
      </c>
      <c r="V1178" s="28" t="str">
        <f>HYPERLINK("https://znanium.com/catalog/product/1844338", "Ознакомиться")</f>
        <v>Ознакомиться</v>
      </c>
      <c r="W1178" s="8" t="s">
        <v>6451</v>
      </c>
      <c r="X1178" s="6"/>
      <c r="Y1178" s="6"/>
      <c r="Z1178" s="6"/>
      <c r="AA1178" s="6" t="s">
        <v>343</v>
      </c>
    </row>
    <row r="1179" spans="1:27" s="4" customFormat="1" ht="51.95" customHeight="1">
      <c r="A1179" s="5">
        <v>0</v>
      </c>
      <c r="B1179" s="6" t="s">
        <v>6452</v>
      </c>
      <c r="C1179" s="7">
        <v>980</v>
      </c>
      <c r="D1179" s="8" t="s">
        <v>6453</v>
      </c>
      <c r="E1179" s="8" t="s">
        <v>6454</v>
      </c>
      <c r="F1179" s="8" t="s">
        <v>6455</v>
      </c>
      <c r="G1179" s="6" t="s">
        <v>37</v>
      </c>
      <c r="H1179" s="6" t="s">
        <v>84</v>
      </c>
      <c r="I1179" s="8" t="s">
        <v>1140</v>
      </c>
      <c r="J1179" s="9">
        <v>1</v>
      </c>
      <c r="K1179" s="9">
        <v>200</v>
      </c>
      <c r="L1179" s="9">
        <v>2024</v>
      </c>
      <c r="M1179" s="8" t="s">
        <v>6456</v>
      </c>
      <c r="N1179" s="8" t="s">
        <v>40</v>
      </c>
      <c r="O1179" s="8" t="s">
        <v>41</v>
      </c>
      <c r="P1179" s="6" t="s">
        <v>95</v>
      </c>
      <c r="Q1179" s="8" t="s">
        <v>1199</v>
      </c>
      <c r="R1179" s="10" t="s">
        <v>6457</v>
      </c>
      <c r="S1179" s="11" t="s">
        <v>6458</v>
      </c>
      <c r="T1179" s="6"/>
      <c r="U1179" s="28" t="str">
        <f>HYPERLINK("https://media.infra-m.ru/2094/2094389/cover/2094389.jpg", "Обложка")</f>
        <v>Обложка</v>
      </c>
      <c r="V1179" s="28" t="str">
        <f>HYPERLINK("https://znanium.com/catalog/product/2094389", "Ознакомиться")</f>
        <v>Ознакомиться</v>
      </c>
      <c r="W1179" s="8" t="s">
        <v>6451</v>
      </c>
      <c r="X1179" s="6"/>
      <c r="Y1179" s="6"/>
      <c r="Z1179" s="6"/>
      <c r="AA1179" s="6" t="s">
        <v>62</v>
      </c>
    </row>
    <row r="1180" spans="1:27" s="4" customFormat="1" ht="42" customHeight="1">
      <c r="A1180" s="5">
        <v>0</v>
      </c>
      <c r="B1180" s="6" t="s">
        <v>6459</v>
      </c>
      <c r="C1180" s="7">
        <v>799.9</v>
      </c>
      <c r="D1180" s="8" t="s">
        <v>6460</v>
      </c>
      <c r="E1180" s="8" t="s">
        <v>6461</v>
      </c>
      <c r="F1180" s="8" t="s">
        <v>1823</v>
      </c>
      <c r="G1180" s="6"/>
      <c r="H1180" s="6" t="s">
        <v>400</v>
      </c>
      <c r="I1180" s="8"/>
      <c r="J1180" s="9">
        <v>8</v>
      </c>
      <c r="K1180" s="9">
        <v>736</v>
      </c>
      <c r="L1180" s="9">
        <v>2015</v>
      </c>
      <c r="M1180" s="8" t="s">
        <v>6462</v>
      </c>
      <c r="N1180" s="8" t="s">
        <v>40</v>
      </c>
      <c r="O1180" s="8" t="s">
        <v>41</v>
      </c>
      <c r="P1180" s="6" t="s">
        <v>95</v>
      </c>
      <c r="Q1180" s="8" t="s">
        <v>43</v>
      </c>
      <c r="R1180" s="10" t="s">
        <v>304</v>
      </c>
      <c r="S1180" s="11"/>
      <c r="T1180" s="6"/>
      <c r="U1180" s="28" t="str">
        <f>HYPERLINK("https://media.infra-m.ru/0501/0501090/cover/501090.jpg", "Обложка")</f>
        <v>Обложка</v>
      </c>
      <c r="V1180" s="28" t="str">
        <f>HYPERLINK("https://znanium.com/catalog/product/1902909", "Ознакомиться")</f>
        <v>Ознакомиться</v>
      </c>
      <c r="W1180" s="8" t="s">
        <v>114</v>
      </c>
      <c r="X1180" s="6"/>
      <c r="Y1180" s="6"/>
      <c r="Z1180" s="6"/>
      <c r="AA1180" s="6" t="s">
        <v>2976</v>
      </c>
    </row>
    <row r="1181" spans="1:27" s="4" customFormat="1" ht="42" customHeight="1">
      <c r="A1181" s="5">
        <v>0</v>
      </c>
      <c r="B1181" s="6" t="s">
        <v>6463</v>
      </c>
      <c r="C1181" s="13">
        <v>2650</v>
      </c>
      <c r="D1181" s="8" t="s">
        <v>6464</v>
      </c>
      <c r="E1181" s="8" t="s">
        <v>6465</v>
      </c>
      <c r="F1181" s="8" t="s">
        <v>3003</v>
      </c>
      <c r="G1181" s="6" t="s">
        <v>58</v>
      </c>
      <c r="H1181" s="6" t="s">
        <v>38</v>
      </c>
      <c r="I1181" s="8"/>
      <c r="J1181" s="9">
        <v>1</v>
      </c>
      <c r="K1181" s="9">
        <v>576</v>
      </c>
      <c r="L1181" s="9">
        <v>2024</v>
      </c>
      <c r="M1181" s="8" t="s">
        <v>6466</v>
      </c>
      <c r="N1181" s="8" t="s">
        <v>40</v>
      </c>
      <c r="O1181" s="8" t="s">
        <v>41</v>
      </c>
      <c r="P1181" s="6" t="s">
        <v>42</v>
      </c>
      <c r="Q1181" s="8" t="s">
        <v>43</v>
      </c>
      <c r="R1181" s="10" t="s">
        <v>304</v>
      </c>
      <c r="S1181" s="11"/>
      <c r="T1181" s="6"/>
      <c r="U1181" s="28" t="str">
        <f>HYPERLINK("https://media.infra-m.ru/2084/2084592/cover/2084592.jpg", "Обложка")</f>
        <v>Обложка</v>
      </c>
      <c r="V1181" s="28" t="str">
        <f>HYPERLINK("https://znanium.com/catalog/product/1902909", "Ознакомиться")</f>
        <v>Ознакомиться</v>
      </c>
      <c r="W1181" s="8" t="s">
        <v>114</v>
      </c>
      <c r="X1181" s="6"/>
      <c r="Y1181" s="6"/>
      <c r="Z1181" s="6"/>
      <c r="AA1181" s="6" t="s">
        <v>1187</v>
      </c>
    </row>
    <row r="1182" spans="1:27" s="4" customFormat="1" ht="42" customHeight="1">
      <c r="A1182" s="5">
        <v>0</v>
      </c>
      <c r="B1182" s="6" t="s">
        <v>6467</v>
      </c>
      <c r="C1182" s="13">
        <v>1850</v>
      </c>
      <c r="D1182" s="8" t="s">
        <v>6468</v>
      </c>
      <c r="E1182" s="8" t="s">
        <v>6469</v>
      </c>
      <c r="F1182" s="8" t="s">
        <v>6470</v>
      </c>
      <c r="G1182" s="6" t="s">
        <v>58</v>
      </c>
      <c r="H1182" s="6" t="s">
        <v>84</v>
      </c>
      <c r="I1182" s="8" t="s">
        <v>1140</v>
      </c>
      <c r="J1182" s="9">
        <v>1</v>
      </c>
      <c r="K1182" s="9">
        <v>377</v>
      </c>
      <c r="L1182" s="9">
        <v>2023</v>
      </c>
      <c r="M1182" s="8" t="s">
        <v>6471</v>
      </c>
      <c r="N1182" s="8" t="s">
        <v>40</v>
      </c>
      <c r="O1182" s="8" t="s">
        <v>41</v>
      </c>
      <c r="P1182" s="6" t="s">
        <v>95</v>
      </c>
      <c r="Q1182" s="8" t="s">
        <v>680</v>
      </c>
      <c r="R1182" s="10" t="s">
        <v>6472</v>
      </c>
      <c r="S1182" s="11"/>
      <c r="T1182" s="6"/>
      <c r="U1182" s="28" t="str">
        <f>HYPERLINK("https://media.infra-m.ru/1904/1904326/cover/1904326.jpg", "Обложка")</f>
        <v>Обложка</v>
      </c>
      <c r="V1182" s="28" t="str">
        <f>HYPERLINK("https://znanium.com/catalog/product/1904326", "Ознакомиться")</f>
        <v>Ознакомиться</v>
      </c>
      <c r="W1182" s="8" t="s">
        <v>3659</v>
      </c>
      <c r="X1182" s="6" t="s">
        <v>475</v>
      </c>
      <c r="Y1182" s="6"/>
      <c r="Z1182" s="6"/>
      <c r="AA1182" s="6" t="s">
        <v>408</v>
      </c>
    </row>
    <row r="1183" spans="1:27" s="4" customFormat="1" ht="51.95" customHeight="1">
      <c r="A1183" s="5">
        <v>0</v>
      </c>
      <c r="B1183" s="6" t="s">
        <v>6473</v>
      </c>
      <c r="C1183" s="13">
        <v>2200</v>
      </c>
      <c r="D1183" s="8" t="s">
        <v>6474</v>
      </c>
      <c r="E1183" s="8" t="s">
        <v>6475</v>
      </c>
      <c r="F1183" s="8" t="s">
        <v>6476</v>
      </c>
      <c r="G1183" s="6" t="s">
        <v>58</v>
      </c>
      <c r="H1183" s="6" t="s">
        <v>38</v>
      </c>
      <c r="I1183" s="8"/>
      <c r="J1183" s="9">
        <v>1</v>
      </c>
      <c r="K1183" s="9">
        <v>480</v>
      </c>
      <c r="L1183" s="9">
        <v>2023</v>
      </c>
      <c r="M1183" s="8" t="s">
        <v>6477</v>
      </c>
      <c r="N1183" s="8" t="s">
        <v>40</v>
      </c>
      <c r="O1183" s="8" t="s">
        <v>41</v>
      </c>
      <c r="P1183" s="6" t="s">
        <v>42</v>
      </c>
      <c r="Q1183" s="8" t="s">
        <v>76</v>
      </c>
      <c r="R1183" s="10" t="s">
        <v>452</v>
      </c>
      <c r="S1183" s="11" t="s">
        <v>6478</v>
      </c>
      <c r="T1183" s="6"/>
      <c r="U1183" s="28" t="str">
        <f>HYPERLINK("https://media.infra-m.ru/2051/2051288/cover/2051288.jpg", "Обложка")</f>
        <v>Обложка</v>
      </c>
      <c r="V1183" s="28" t="str">
        <f>HYPERLINK("https://znanium.com/catalog/product/2051288", "Ознакомиться")</f>
        <v>Ознакомиться</v>
      </c>
      <c r="W1183" s="8" t="s">
        <v>712</v>
      </c>
      <c r="X1183" s="6"/>
      <c r="Y1183" s="6"/>
      <c r="Z1183" s="6"/>
      <c r="AA1183" s="6" t="s">
        <v>693</v>
      </c>
    </row>
    <row r="1184" spans="1:27" s="4" customFormat="1" ht="42" customHeight="1">
      <c r="A1184" s="5">
        <v>0</v>
      </c>
      <c r="B1184" s="6" t="s">
        <v>6479</v>
      </c>
      <c r="C1184" s="13">
        <v>1190</v>
      </c>
      <c r="D1184" s="8" t="s">
        <v>6480</v>
      </c>
      <c r="E1184" s="8" t="s">
        <v>6481</v>
      </c>
      <c r="F1184" s="8" t="s">
        <v>6482</v>
      </c>
      <c r="G1184" s="6" t="s">
        <v>58</v>
      </c>
      <c r="H1184" s="6" t="s">
        <v>84</v>
      </c>
      <c r="I1184" s="8" t="s">
        <v>1140</v>
      </c>
      <c r="J1184" s="9">
        <v>1</v>
      </c>
      <c r="K1184" s="9">
        <v>244</v>
      </c>
      <c r="L1184" s="9">
        <v>2023</v>
      </c>
      <c r="M1184" s="8" t="s">
        <v>6483</v>
      </c>
      <c r="N1184" s="8" t="s">
        <v>40</v>
      </c>
      <c r="O1184" s="8" t="s">
        <v>41</v>
      </c>
      <c r="P1184" s="6" t="s">
        <v>95</v>
      </c>
      <c r="Q1184" s="8" t="s">
        <v>1199</v>
      </c>
      <c r="R1184" s="10" t="s">
        <v>3657</v>
      </c>
      <c r="S1184" s="11"/>
      <c r="T1184" s="6"/>
      <c r="U1184" s="28" t="str">
        <f>HYPERLINK("https://media.infra-m.ru/1856/1856374/cover/1856374.jpg", "Обложка")</f>
        <v>Обложка</v>
      </c>
      <c r="V1184" s="28" t="str">
        <f>HYPERLINK("https://znanium.com/catalog/product/1856374", "Ознакомиться")</f>
        <v>Ознакомиться</v>
      </c>
      <c r="W1184" s="8" t="s">
        <v>3081</v>
      </c>
      <c r="X1184" s="6" t="s">
        <v>1024</v>
      </c>
      <c r="Y1184" s="6"/>
      <c r="Z1184" s="6"/>
      <c r="AA1184" s="6" t="s">
        <v>408</v>
      </c>
    </row>
    <row r="1185" spans="1:27" s="4" customFormat="1" ht="51.95" customHeight="1">
      <c r="A1185" s="5">
        <v>0</v>
      </c>
      <c r="B1185" s="6" t="s">
        <v>6484</v>
      </c>
      <c r="C1185" s="13">
        <v>1440</v>
      </c>
      <c r="D1185" s="8" t="s">
        <v>6485</v>
      </c>
      <c r="E1185" s="8" t="s">
        <v>6486</v>
      </c>
      <c r="F1185" s="8" t="s">
        <v>6487</v>
      </c>
      <c r="G1185" s="6" t="s">
        <v>37</v>
      </c>
      <c r="H1185" s="6" t="s">
        <v>38</v>
      </c>
      <c r="I1185" s="8"/>
      <c r="J1185" s="9">
        <v>1</v>
      </c>
      <c r="K1185" s="9">
        <v>320</v>
      </c>
      <c r="L1185" s="9">
        <v>2023</v>
      </c>
      <c r="M1185" s="8" t="s">
        <v>6488</v>
      </c>
      <c r="N1185" s="8" t="s">
        <v>40</v>
      </c>
      <c r="O1185" s="8" t="s">
        <v>41</v>
      </c>
      <c r="P1185" s="6" t="s">
        <v>95</v>
      </c>
      <c r="Q1185" s="8" t="s">
        <v>157</v>
      </c>
      <c r="R1185" s="10" t="s">
        <v>6489</v>
      </c>
      <c r="S1185" s="11"/>
      <c r="T1185" s="6"/>
      <c r="U1185" s="28" t="str">
        <f>HYPERLINK("https://media.infra-m.ru/1911/1911023/cover/1911023.jpg", "Обложка")</f>
        <v>Обложка</v>
      </c>
      <c r="V1185" s="28" t="str">
        <f>HYPERLINK("https://znanium.com/catalog/product/1911023", "Ознакомиться")</f>
        <v>Ознакомиться</v>
      </c>
      <c r="W1185" s="8" t="s">
        <v>114</v>
      </c>
      <c r="X1185" s="6"/>
      <c r="Y1185" s="6"/>
      <c r="Z1185" s="6"/>
      <c r="AA1185" s="6" t="s">
        <v>115</v>
      </c>
    </row>
    <row r="1186" spans="1:27" s="4" customFormat="1" ht="51.95" customHeight="1">
      <c r="A1186" s="5">
        <v>0</v>
      </c>
      <c r="B1186" s="6" t="s">
        <v>6490</v>
      </c>
      <c r="C1186" s="13">
        <v>1150</v>
      </c>
      <c r="D1186" s="8" t="s">
        <v>6491</v>
      </c>
      <c r="E1186" s="8" t="s">
        <v>6492</v>
      </c>
      <c r="F1186" s="8" t="s">
        <v>6493</v>
      </c>
      <c r="G1186" s="6" t="s">
        <v>51</v>
      </c>
      <c r="H1186" s="6" t="s">
        <v>38</v>
      </c>
      <c r="I1186" s="8" t="s">
        <v>6494</v>
      </c>
      <c r="J1186" s="9">
        <v>1</v>
      </c>
      <c r="K1186" s="9">
        <v>256</v>
      </c>
      <c r="L1186" s="9">
        <v>2023</v>
      </c>
      <c r="M1186" s="8" t="s">
        <v>6495</v>
      </c>
      <c r="N1186" s="8" t="s">
        <v>40</v>
      </c>
      <c r="O1186" s="8" t="s">
        <v>41</v>
      </c>
      <c r="P1186" s="6" t="s">
        <v>943</v>
      </c>
      <c r="Q1186" s="8" t="s">
        <v>43</v>
      </c>
      <c r="R1186" s="10" t="s">
        <v>6496</v>
      </c>
      <c r="S1186" s="11"/>
      <c r="T1186" s="6"/>
      <c r="U1186" s="28" t="str">
        <f>HYPERLINK("https://media.infra-m.ru/1919/1919497/cover/1919497.jpg", "Обложка")</f>
        <v>Обложка</v>
      </c>
      <c r="V1186" s="28" t="str">
        <f>HYPERLINK("https://znanium.com/catalog/product/1919497", "Ознакомиться")</f>
        <v>Ознакомиться</v>
      </c>
      <c r="W1186" s="8" t="s">
        <v>5947</v>
      </c>
      <c r="X1186" s="6"/>
      <c r="Y1186" s="6"/>
      <c r="Z1186" s="6"/>
      <c r="AA1186" s="6" t="s">
        <v>693</v>
      </c>
    </row>
    <row r="1187" spans="1:27" s="4" customFormat="1" ht="51.95" customHeight="1">
      <c r="A1187" s="5">
        <v>0</v>
      </c>
      <c r="B1187" s="6" t="s">
        <v>6497</v>
      </c>
      <c r="C1187" s="7">
        <v>890</v>
      </c>
      <c r="D1187" s="8" t="s">
        <v>6498</v>
      </c>
      <c r="E1187" s="8" t="s">
        <v>6499</v>
      </c>
      <c r="F1187" s="8" t="s">
        <v>6500</v>
      </c>
      <c r="G1187" s="6" t="s">
        <v>37</v>
      </c>
      <c r="H1187" s="6" t="s">
        <v>84</v>
      </c>
      <c r="I1187" s="8" t="s">
        <v>185</v>
      </c>
      <c r="J1187" s="9">
        <v>1</v>
      </c>
      <c r="K1187" s="9">
        <v>197</v>
      </c>
      <c r="L1187" s="9">
        <v>2020</v>
      </c>
      <c r="M1187" s="8" t="s">
        <v>6501</v>
      </c>
      <c r="N1187" s="8" t="s">
        <v>40</v>
      </c>
      <c r="O1187" s="8" t="s">
        <v>41</v>
      </c>
      <c r="P1187" s="6" t="s">
        <v>75</v>
      </c>
      <c r="Q1187" s="8" t="s">
        <v>76</v>
      </c>
      <c r="R1187" s="10" t="s">
        <v>113</v>
      </c>
      <c r="S1187" s="11" t="s">
        <v>6502</v>
      </c>
      <c r="T1187" s="6"/>
      <c r="U1187" s="28" t="str">
        <f>HYPERLINK("https://media.infra-m.ru/1947/1947366/cover/1947366.jpg", "Обложка")</f>
        <v>Обложка</v>
      </c>
      <c r="V1187" s="28" t="str">
        <f>HYPERLINK("https://znanium.com/catalog/product/1031595", "Ознакомиться")</f>
        <v>Ознакомиться</v>
      </c>
      <c r="W1187" s="8" t="s">
        <v>6192</v>
      </c>
      <c r="X1187" s="6"/>
      <c r="Y1187" s="6"/>
      <c r="Z1187" s="6"/>
      <c r="AA1187" s="6" t="s">
        <v>115</v>
      </c>
    </row>
    <row r="1188" spans="1:27" s="4" customFormat="1" ht="51.95" customHeight="1">
      <c r="A1188" s="5">
        <v>0</v>
      </c>
      <c r="B1188" s="6" t="s">
        <v>6503</v>
      </c>
      <c r="C1188" s="13">
        <v>1804.9</v>
      </c>
      <c r="D1188" s="8" t="s">
        <v>6504</v>
      </c>
      <c r="E1188" s="8" t="s">
        <v>6505</v>
      </c>
      <c r="F1188" s="8" t="s">
        <v>1823</v>
      </c>
      <c r="G1188" s="6" t="s">
        <v>58</v>
      </c>
      <c r="H1188" s="6" t="s">
        <v>38</v>
      </c>
      <c r="I1188" s="8"/>
      <c r="J1188" s="9">
        <v>1</v>
      </c>
      <c r="K1188" s="9">
        <v>400</v>
      </c>
      <c r="L1188" s="9">
        <v>2023</v>
      </c>
      <c r="M1188" s="8" t="s">
        <v>6506</v>
      </c>
      <c r="N1188" s="8" t="s">
        <v>40</v>
      </c>
      <c r="O1188" s="8" t="s">
        <v>41</v>
      </c>
      <c r="P1188" s="6" t="s">
        <v>95</v>
      </c>
      <c r="Q1188" s="8" t="s">
        <v>2084</v>
      </c>
      <c r="R1188" s="10" t="s">
        <v>6507</v>
      </c>
      <c r="S1188" s="11"/>
      <c r="T1188" s="6"/>
      <c r="U1188" s="28" t="str">
        <f>HYPERLINK("https://media.infra-m.ru/2002/2002643/cover/2002643.jpg", "Обложка")</f>
        <v>Обложка</v>
      </c>
      <c r="V1188" s="28" t="str">
        <f>HYPERLINK("https://znanium.com/catalog/product/1227539", "Ознакомиться")</f>
        <v>Ознакомиться</v>
      </c>
      <c r="W1188" s="8" t="s">
        <v>114</v>
      </c>
      <c r="X1188" s="6"/>
      <c r="Y1188" s="6"/>
      <c r="Z1188" s="6"/>
      <c r="AA1188" s="6" t="s">
        <v>148</v>
      </c>
    </row>
    <row r="1189" spans="1:27" s="4" customFormat="1" ht="44.1" customHeight="1">
      <c r="A1189" s="5">
        <v>0</v>
      </c>
      <c r="B1189" s="6" t="s">
        <v>6508</v>
      </c>
      <c r="C1189" s="13">
        <v>1550</v>
      </c>
      <c r="D1189" s="8" t="s">
        <v>6509</v>
      </c>
      <c r="E1189" s="8" t="s">
        <v>6510</v>
      </c>
      <c r="F1189" s="8" t="s">
        <v>6511</v>
      </c>
      <c r="G1189" s="6" t="s">
        <v>37</v>
      </c>
      <c r="H1189" s="6" t="s">
        <v>38</v>
      </c>
      <c r="I1189" s="8"/>
      <c r="J1189" s="9">
        <v>1</v>
      </c>
      <c r="K1189" s="9">
        <v>344</v>
      </c>
      <c r="L1189" s="9">
        <v>2023</v>
      </c>
      <c r="M1189" s="8" t="s">
        <v>6512</v>
      </c>
      <c r="N1189" s="8" t="s">
        <v>40</v>
      </c>
      <c r="O1189" s="8" t="s">
        <v>41</v>
      </c>
      <c r="P1189" s="6" t="s">
        <v>42</v>
      </c>
      <c r="Q1189" s="8" t="s">
        <v>43</v>
      </c>
      <c r="R1189" s="10" t="s">
        <v>1290</v>
      </c>
      <c r="S1189" s="11"/>
      <c r="T1189" s="6"/>
      <c r="U1189" s="28" t="str">
        <f>HYPERLINK("https://media.infra-m.ru/1915/1915383/cover/1915383.jpg", "Обложка")</f>
        <v>Обложка</v>
      </c>
      <c r="V1189" s="28" t="str">
        <f>HYPERLINK("https://znanium.com/catalog/product/1915383", "Ознакомиться")</f>
        <v>Ознакомиться</v>
      </c>
      <c r="W1189" s="8" t="s">
        <v>712</v>
      </c>
      <c r="X1189" s="6"/>
      <c r="Y1189" s="6"/>
      <c r="Z1189" s="6"/>
      <c r="AA1189" s="6" t="s">
        <v>62</v>
      </c>
    </row>
    <row r="1190" spans="1:27" s="4" customFormat="1" ht="51.95" customHeight="1">
      <c r="A1190" s="5">
        <v>0</v>
      </c>
      <c r="B1190" s="6" t="s">
        <v>6513</v>
      </c>
      <c r="C1190" s="7">
        <v>734</v>
      </c>
      <c r="D1190" s="8" t="s">
        <v>6514</v>
      </c>
      <c r="E1190" s="8" t="s">
        <v>6515</v>
      </c>
      <c r="F1190" s="8" t="s">
        <v>6516</v>
      </c>
      <c r="G1190" s="6" t="s">
        <v>58</v>
      </c>
      <c r="H1190" s="6" t="s">
        <v>38</v>
      </c>
      <c r="I1190" s="8"/>
      <c r="J1190" s="9">
        <v>1</v>
      </c>
      <c r="K1190" s="9">
        <v>160</v>
      </c>
      <c r="L1190" s="9">
        <v>2024</v>
      </c>
      <c r="M1190" s="8" t="s">
        <v>6517</v>
      </c>
      <c r="N1190" s="8" t="s">
        <v>40</v>
      </c>
      <c r="O1190" s="8" t="s">
        <v>41</v>
      </c>
      <c r="P1190" s="6" t="s">
        <v>75</v>
      </c>
      <c r="Q1190" s="8" t="s">
        <v>157</v>
      </c>
      <c r="R1190" s="10" t="s">
        <v>122</v>
      </c>
      <c r="S1190" s="11"/>
      <c r="T1190" s="6"/>
      <c r="U1190" s="28" t="str">
        <f>HYPERLINK("https://media.infra-m.ru/2083/2083282/cover/2083282.jpg", "Обложка")</f>
        <v>Обложка</v>
      </c>
      <c r="V1190" s="28" t="str">
        <f>HYPERLINK("https://znanium.com/catalog/product/1021823", "Ознакомиться")</f>
        <v>Ознакомиться</v>
      </c>
      <c r="W1190" s="8" t="s">
        <v>114</v>
      </c>
      <c r="X1190" s="6"/>
      <c r="Y1190" s="6"/>
      <c r="Z1190" s="6"/>
      <c r="AA1190" s="6" t="s">
        <v>46</v>
      </c>
    </row>
    <row r="1191" spans="1:27" s="4" customFormat="1" ht="42" customHeight="1">
      <c r="A1191" s="5">
        <v>0</v>
      </c>
      <c r="B1191" s="6" t="s">
        <v>6518</v>
      </c>
      <c r="C1191" s="13">
        <v>1684.9</v>
      </c>
      <c r="D1191" s="8" t="s">
        <v>6519</v>
      </c>
      <c r="E1191" s="8" t="s">
        <v>6520</v>
      </c>
      <c r="F1191" s="8" t="s">
        <v>6521</v>
      </c>
      <c r="G1191" s="6" t="s">
        <v>58</v>
      </c>
      <c r="H1191" s="6" t="s">
        <v>38</v>
      </c>
      <c r="I1191" s="8"/>
      <c r="J1191" s="9">
        <v>1</v>
      </c>
      <c r="K1191" s="9">
        <v>528</v>
      </c>
      <c r="L1191" s="9">
        <v>2023</v>
      </c>
      <c r="M1191" s="8" t="s">
        <v>6522</v>
      </c>
      <c r="N1191" s="8" t="s">
        <v>40</v>
      </c>
      <c r="O1191" s="8" t="s">
        <v>41</v>
      </c>
      <c r="P1191" s="6" t="s">
        <v>42</v>
      </c>
      <c r="Q1191" s="8" t="s">
        <v>43</v>
      </c>
      <c r="R1191" s="10" t="s">
        <v>310</v>
      </c>
      <c r="S1191" s="11"/>
      <c r="T1191" s="6"/>
      <c r="U1191" s="28" t="str">
        <f>HYPERLINK("https://media.infra-m.ru/1971/1971050/cover/1971050.jpg", "Обложка")</f>
        <v>Обложка</v>
      </c>
      <c r="V1191" s="28" t="str">
        <f>HYPERLINK("https://znanium.com/catalog/product/1324341", "Ознакомиться")</f>
        <v>Ознакомиться</v>
      </c>
      <c r="W1191" s="8" t="s">
        <v>237</v>
      </c>
      <c r="X1191" s="6"/>
      <c r="Y1191" s="6"/>
      <c r="Z1191" s="6"/>
      <c r="AA1191" s="6" t="s">
        <v>2442</v>
      </c>
    </row>
    <row r="1192" spans="1:27" s="4" customFormat="1" ht="51.95" customHeight="1">
      <c r="A1192" s="5">
        <v>0</v>
      </c>
      <c r="B1192" s="6" t="s">
        <v>6523</v>
      </c>
      <c r="C1192" s="13">
        <v>1174</v>
      </c>
      <c r="D1192" s="8" t="s">
        <v>6524</v>
      </c>
      <c r="E1192" s="8" t="s">
        <v>6525</v>
      </c>
      <c r="F1192" s="8" t="s">
        <v>6526</v>
      </c>
      <c r="G1192" s="6" t="s">
        <v>58</v>
      </c>
      <c r="H1192" s="6" t="s">
        <v>38</v>
      </c>
      <c r="I1192" s="8"/>
      <c r="J1192" s="9">
        <v>1</v>
      </c>
      <c r="K1192" s="9">
        <v>256</v>
      </c>
      <c r="L1192" s="9">
        <v>2023</v>
      </c>
      <c r="M1192" s="8" t="s">
        <v>6527</v>
      </c>
      <c r="N1192" s="8" t="s">
        <v>40</v>
      </c>
      <c r="O1192" s="8" t="s">
        <v>41</v>
      </c>
      <c r="P1192" s="6" t="s">
        <v>42</v>
      </c>
      <c r="Q1192" s="8" t="s">
        <v>43</v>
      </c>
      <c r="R1192" s="10" t="s">
        <v>452</v>
      </c>
      <c r="S1192" s="11"/>
      <c r="T1192" s="6"/>
      <c r="U1192" s="28" t="str">
        <f>HYPERLINK("https://media.infra-m.ru/2096/2096169/cover/2096169.jpg", "Обложка")</f>
        <v>Обложка</v>
      </c>
      <c r="V1192" s="28" t="str">
        <f>HYPERLINK("https://znanium.com/catalog/product/1022278", "Ознакомиться")</f>
        <v>Ознакомиться</v>
      </c>
      <c r="W1192" s="8" t="s">
        <v>61</v>
      </c>
      <c r="X1192" s="6"/>
      <c r="Y1192" s="6"/>
      <c r="Z1192" s="6"/>
      <c r="AA1192" s="6" t="s">
        <v>46</v>
      </c>
    </row>
    <row r="1193" spans="1:27" s="4" customFormat="1" ht="42" customHeight="1">
      <c r="A1193" s="5">
        <v>0</v>
      </c>
      <c r="B1193" s="6" t="s">
        <v>6528</v>
      </c>
      <c r="C1193" s="13">
        <v>1444</v>
      </c>
      <c r="D1193" s="8" t="s">
        <v>6529</v>
      </c>
      <c r="E1193" s="8" t="s">
        <v>6530</v>
      </c>
      <c r="F1193" s="8" t="s">
        <v>3503</v>
      </c>
      <c r="G1193" s="6" t="s">
        <v>37</v>
      </c>
      <c r="H1193" s="6" t="s">
        <v>38</v>
      </c>
      <c r="I1193" s="8"/>
      <c r="J1193" s="9">
        <v>1</v>
      </c>
      <c r="K1193" s="9">
        <v>320</v>
      </c>
      <c r="L1193" s="9">
        <v>2023</v>
      </c>
      <c r="M1193" s="8" t="s">
        <v>6531</v>
      </c>
      <c r="N1193" s="8" t="s">
        <v>40</v>
      </c>
      <c r="O1193" s="8" t="s">
        <v>41</v>
      </c>
      <c r="P1193" s="6" t="s">
        <v>42</v>
      </c>
      <c r="Q1193" s="8" t="s">
        <v>43</v>
      </c>
      <c r="R1193" s="10" t="s">
        <v>304</v>
      </c>
      <c r="S1193" s="11"/>
      <c r="T1193" s="6"/>
      <c r="U1193" s="28" t="str">
        <f>HYPERLINK("https://media.infra-m.ru/1920/1920349/cover/1920349.jpg", "Обложка")</f>
        <v>Обложка</v>
      </c>
      <c r="V1193" s="28" t="str">
        <f>HYPERLINK("https://znanium.com/catalog/product/1857920", "Ознакомиться")</f>
        <v>Ознакомиться</v>
      </c>
      <c r="W1193" s="8" t="s">
        <v>78</v>
      </c>
      <c r="X1193" s="6"/>
      <c r="Y1193" s="6"/>
      <c r="Z1193" s="6"/>
      <c r="AA1193" s="6" t="s">
        <v>79</v>
      </c>
    </row>
    <row r="1194" spans="1:27" s="4" customFormat="1" ht="51.95" customHeight="1">
      <c r="A1194" s="5">
        <v>0</v>
      </c>
      <c r="B1194" s="6" t="s">
        <v>6532</v>
      </c>
      <c r="C1194" s="7">
        <v>874.9</v>
      </c>
      <c r="D1194" s="8" t="s">
        <v>6533</v>
      </c>
      <c r="E1194" s="8" t="s">
        <v>6534</v>
      </c>
      <c r="F1194" s="8" t="s">
        <v>6535</v>
      </c>
      <c r="G1194" s="6" t="s">
        <v>58</v>
      </c>
      <c r="H1194" s="6" t="s">
        <v>38</v>
      </c>
      <c r="I1194" s="8"/>
      <c r="J1194" s="9">
        <v>1</v>
      </c>
      <c r="K1194" s="9">
        <v>256</v>
      </c>
      <c r="L1194" s="9">
        <v>2019</v>
      </c>
      <c r="M1194" s="8" t="s">
        <v>6536</v>
      </c>
      <c r="N1194" s="8" t="s">
        <v>40</v>
      </c>
      <c r="O1194" s="8" t="s">
        <v>41</v>
      </c>
      <c r="P1194" s="6" t="s">
        <v>6537</v>
      </c>
      <c r="Q1194" s="8" t="s">
        <v>43</v>
      </c>
      <c r="R1194" s="10" t="s">
        <v>6538</v>
      </c>
      <c r="S1194" s="11"/>
      <c r="T1194" s="6"/>
      <c r="U1194" s="28" t="str">
        <f>HYPERLINK("https://media.infra-m.ru/0988/0988093/cover/988093.jpg", "Обложка")</f>
        <v>Обложка</v>
      </c>
      <c r="V1194" s="28" t="str">
        <f>HYPERLINK("https://znanium.com/catalog/product/1221174", "Ознакомиться")</f>
        <v>Ознакомиться</v>
      </c>
      <c r="W1194" s="8" t="s">
        <v>78</v>
      </c>
      <c r="X1194" s="6"/>
      <c r="Y1194" s="6"/>
      <c r="Z1194" s="6"/>
      <c r="AA1194" s="6" t="s">
        <v>422</v>
      </c>
    </row>
    <row r="1195" spans="1:27" s="4" customFormat="1" ht="44.1" customHeight="1">
      <c r="A1195" s="5">
        <v>0</v>
      </c>
      <c r="B1195" s="6" t="s">
        <v>6539</v>
      </c>
      <c r="C1195" s="13">
        <v>1584.9</v>
      </c>
      <c r="D1195" s="8" t="s">
        <v>6540</v>
      </c>
      <c r="E1195" s="8" t="s">
        <v>6541</v>
      </c>
      <c r="F1195" s="8" t="s">
        <v>6542</v>
      </c>
      <c r="G1195" s="6" t="s">
        <v>51</v>
      </c>
      <c r="H1195" s="6" t="s">
        <v>38</v>
      </c>
      <c r="I1195" s="8"/>
      <c r="J1195" s="9">
        <v>1</v>
      </c>
      <c r="K1195" s="9">
        <v>352</v>
      </c>
      <c r="L1195" s="9">
        <v>2023</v>
      </c>
      <c r="M1195" s="8" t="s">
        <v>6543</v>
      </c>
      <c r="N1195" s="8" t="s">
        <v>40</v>
      </c>
      <c r="O1195" s="8" t="s">
        <v>41</v>
      </c>
      <c r="P1195" s="6" t="s">
        <v>42</v>
      </c>
      <c r="Q1195" s="8" t="s">
        <v>43</v>
      </c>
      <c r="R1195" s="10" t="s">
        <v>1256</v>
      </c>
      <c r="S1195" s="11"/>
      <c r="T1195" s="6"/>
      <c r="U1195" s="28" t="str">
        <f>HYPERLINK("https://media.infra-m.ru/1911/1911190/cover/1911190.jpg", "Обложка")</f>
        <v>Обложка</v>
      </c>
      <c r="V1195" s="28" t="str">
        <f>HYPERLINK("https://znanium.com/catalog/product/1221172", "Ознакомиться")</f>
        <v>Ознакомиться</v>
      </c>
      <c r="W1195" s="8" t="s">
        <v>78</v>
      </c>
      <c r="X1195" s="6"/>
      <c r="Y1195" s="6"/>
      <c r="Z1195" s="6"/>
      <c r="AA1195" s="6" t="s">
        <v>422</v>
      </c>
    </row>
    <row r="1196" spans="1:27" s="4" customFormat="1" ht="42" customHeight="1">
      <c r="A1196" s="5">
        <v>0</v>
      </c>
      <c r="B1196" s="6" t="s">
        <v>6544</v>
      </c>
      <c r="C1196" s="7">
        <v>450</v>
      </c>
      <c r="D1196" s="8" t="s">
        <v>6545</v>
      </c>
      <c r="E1196" s="8" t="s">
        <v>6546</v>
      </c>
      <c r="F1196" s="8" t="s">
        <v>6547</v>
      </c>
      <c r="G1196" s="6" t="s">
        <v>51</v>
      </c>
      <c r="H1196" s="6" t="s">
        <v>38</v>
      </c>
      <c r="I1196" s="8"/>
      <c r="J1196" s="9">
        <v>1</v>
      </c>
      <c r="K1196" s="9">
        <v>80</v>
      </c>
      <c r="L1196" s="9">
        <v>2022</v>
      </c>
      <c r="M1196" s="8" t="s">
        <v>6548</v>
      </c>
      <c r="N1196" s="8" t="s">
        <v>40</v>
      </c>
      <c r="O1196" s="8" t="s">
        <v>41</v>
      </c>
      <c r="P1196" s="6" t="s">
        <v>75</v>
      </c>
      <c r="Q1196" s="8" t="s">
        <v>76</v>
      </c>
      <c r="R1196" s="10" t="s">
        <v>113</v>
      </c>
      <c r="S1196" s="11"/>
      <c r="T1196" s="6"/>
      <c r="U1196" s="28" t="str">
        <f>HYPERLINK("https://media.infra-m.ru/1859/1859818/cover/1859818.jpg", "Обложка")</f>
        <v>Обложка</v>
      </c>
      <c r="V1196" s="28" t="str">
        <f>HYPERLINK("https://znanium.com/catalog/product/1911116", "Ознакомиться")</f>
        <v>Ознакомиться</v>
      </c>
      <c r="W1196" s="8" t="s">
        <v>114</v>
      </c>
      <c r="X1196" s="6"/>
      <c r="Y1196" s="6"/>
      <c r="Z1196" s="6"/>
      <c r="AA1196" s="6" t="s">
        <v>115</v>
      </c>
    </row>
    <row r="1197" spans="1:27" s="4" customFormat="1" ht="42" customHeight="1">
      <c r="A1197" s="5">
        <v>0</v>
      </c>
      <c r="B1197" s="6" t="s">
        <v>6549</v>
      </c>
      <c r="C1197" s="7">
        <v>510</v>
      </c>
      <c r="D1197" s="8" t="s">
        <v>6550</v>
      </c>
      <c r="E1197" s="8" t="s">
        <v>6551</v>
      </c>
      <c r="F1197" s="8" t="s">
        <v>6547</v>
      </c>
      <c r="G1197" s="6" t="s">
        <v>51</v>
      </c>
      <c r="H1197" s="6" t="s">
        <v>38</v>
      </c>
      <c r="I1197" s="8"/>
      <c r="J1197" s="9">
        <v>1</v>
      </c>
      <c r="K1197" s="9">
        <v>108</v>
      </c>
      <c r="L1197" s="9">
        <v>2024</v>
      </c>
      <c r="M1197" s="8" t="s">
        <v>6552</v>
      </c>
      <c r="N1197" s="8" t="s">
        <v>40</v>
      </c>
      <c r="O1197" s="8" t="s">
        <v>41</v>
      </c>
      <c r="P1197" s="6" t="s">
        <v>75</v>
      </c>
      <c r="Q1197" s="8" t="s">
        <v>76</v>
      </c>
      <c r="R1197" s="10" t="s">
        <v>113</v>
      </c>
      <c r="S1197" s="11"/>
      <c r="T1197" s="6"/>
      <c r="U1197" s="28" t="str">
        <f>HYPERLINK("https://media.infra-m.ru/2118/2118045/cover/2118045.jpg", "Обложка")</f>
        <v>Обложка</v>
      </c>
      <c r="V1197" s="28" t="str">
        <f>HYPERLINK("https://znanium.com/catalog/product/1911116", "Ознакомиться")</f>
        <v>Ознакомиться</v>
      </c>
      <c r="W1197" s="8" t="s">
        <v>114</v>
      </c>
      <c r="X1197" s="6"/>
      <c r="Y1197" s="6"/>
      <c r="Z1197" s="6"/>
      <c r="AA1197" s="6" t="s">
        <v>137</v>
      </c>
    </row>
    <row r="1198" spans="1:27" s="4" customFormat="1" ht="51.95" customHeight="1">
      <c r="A1198" s="5">
        <v>0</v>
      </c>
      <c r="B1198" s="6" t="s">
        <v>6553</v>
      </c>
      <c r="C1198" s="7">
        <v>400</v>
      </c>
      <c r="D1198" s="8" t="s">
        <v>6554</v>
      </c>
      <c r="E1198" s="8" t="s">
        <v>6555</v>
      </c>
      <c r="F1198" s="8" t="s">
        <v>6556</v>
      </c>
      <c r="G1198" s="6" t="s">
        <v>51</v>
      </c>
      <c r="H1198" s="6" t="s">
        <v>38</v>
      </c>
      <c r="I1198" s="8"/>
      <c r="J1198" s="9">
        <v>1</v>
      </c>
      <c r="K1198" s="9">
        <v>80</v>
      </c>
      <c r="L1198" s="9">
        <v>2023</v>
      </c>
      <c r="M1198" s="8" t="s">
        <v>6557</v>
      </c>
      <c r="N1198" s="8" t="s">
        <v>40</v>
      </c>
      <c r="O1198" s="8" t="s">
        <v>41</v>
      </c>
      <c r="P1198" s="6" t="s">
        <v>2566</v>
      </c>
      <c r="Q1198" s="8" t="s">
        <v>76</v>
      </c>
      <c r="R1198" s="10" t="s">
        <v>6558</v>
      </c>
      <c r="S1198" s="11"/>
      <c r="T1198" s="6"/>
      <c r="U1198" s="28" t="str">
        <f>HYPERLINK("https://media.infra-m.ru/1911/1911117/cover/1911117.jpg", "Обложка")</f>
        <v>Обложка</v>
      </c>
      <c r="V1198" s="28" t="str">
        <f>HYPERLINK("https://znanium.com/catalog/product/1911117", "Ознакомиться")</f>
        <v>Ознакомиться</v>
      </c>
      <c r="W1198" s="8" t="s">
        <v>114</v>
      </c>
      <c r="X1198" s="6"/>
      <c r="Y1198" s="6"/>
      <c r="Z1198" s="6"/>
      <c r="AA1198" s="6" t="s">
        <v>79</v>
      </c>
    </row>
    <row r="1199" spans="1:27" s="4" customFormat="1" ht="51.95" customHeight="1">
      <c r="A1199" s="5">
        <v>0</v>
      </c>
      <c r="B1199" s="6" t="s">
        <v>6559</v>
      </c>
      <c r="C1199" s="7">
        <v>990</v>
      </c>
      <c r="D1199" s="8" t="s">
        <v>6560</v>
      </c>
      <c r="E1199" s="8" t="s">
        <v>6561</v>
      </c>
      <c r="F1199" s="8" t="s">
        <v>6562</v>
      </c>
      <c r="G1199" s="6" t="s">
        <v>37</v>
      </c>
      <c r="H1199" s="6" t="s">
        <v>84</v>
      </c>
      <c r="I1199" s="8" t="s">
        <v>185</v>
      </c>
      <c r="J1199" s="9">
        <v>1</v>
      </c>
      <c r="K1199" s="9">
        <v>235</v>
      </c>
      <c r="L1199" s="9">
        <v>2022</v>
      </c>
      <c r="M1199" s="8" t="s">
        <v>6563</v>
      </c>
      <c r="N1199" s="8" t="s">
        <v>40</v>
      </c>
      <c r="O1199" s="8" t="s">
        <v>41</v>
      </c>
      <c r="P1199" s="6" t="s">
        <v>75</v>
      </c>
      <c r="Q1199" s="8" t="s">
        <v>76</v>
      </c>
      <c r="R1199" s="10" t="s">
        <v>6564</v>
      </c>
      <c r="S1199" s="11" t="s">
        <v>6565</v>
      </c>
      <c r="T1199" s="6"/>
      <c r="U1199" s="28" t="str">
        <f>HYPERLINK("https://media.infra-m.ru/1889/1889069/cover/1889069.jpg", "Обложка")</f>
        <v>Обложка</v>
      </c>
      <c r="V1199" s="28" t="str">
        <f>HYPERLINK("https://znanium.com/catalog/product/1889069", "Ознакомиться")</f>
        <v>Ознакомиться</v>
      </c>
      <c r="W1199" s="8" t="s">
        <v>6566</v>
      </c>
      <c r="X1199" s="6"/>
      <c r="Y1199" s="6"/>
      <c r="Z1199" s="6"/>
      <c r="AA1199" s="6" t="s">
        <v>62</v>
      </c>
    </row>
    <row r="1200" spans="1:27" s="4" customFormat="1" ht="51.95" customHeight="1">
      <c r="A1200" s="5">
        <v>0</v>
      </c>
      <c r="B1200" s="6" t="s">
        <v>6567</v>
      </c>
      <c r="C1200" s="13">
        <v>1010</v>
      </c>
      <c r="D1200" s="8" t="s">
        <v>6568</v>
      </c>
      <c r="E1200" s="8" t="s">
        <v>6569</v>
      </c>
      <c r="F1200" s="8" t="s">
        <v>3441</v>
      </c>
      <c r="G1200" s="6" t="s">
        <v>37</v>
      </c>
      <c r="H1200" s="6" t="s">
        <v>84</v>
      </c>
      <c r="I1200" s="8" t="s">
        <v>316</v>
      </c>
      <c r="J1200" s="9">
        <v>1</v>
      </c>
      <c r="K1200" s="9">
        <v>223</v>
      </c>
      <c r="L1200" s="9">
        <v>2023</v>
      </c>
      <c r="M1200" s="8" t="s">
        <v>6570</v>
      </c>
      <c r="N1200" s="8" t="s">
        <v>40</v>
      </c>
      <c r="O1200" s="8" t="s">
        <v>41</v>
      </c>
      <c r="P1200" s="6" t="s">
        <v>75</v>
      </c>
      <c r="Q1200" s="8" t="s">
        <v>157</v>
      </c>
      <c r="R1200" s="10" t="s">
        <v>6571</v>
      </c>
      <c r="S1200" s="11" t="s">
        <v>6572</v>
      </c>
      <c r="T1200" s="6"/>
      <c r="U1200" s="28" t="str">
        <f>HYPERLINK("https://media.infra-m.ru/1981/1981723/cover/1981723.jpg", "Обложка")</f>
        <v>Обложка</v>
      </c>
      <c r="V1200" s="28" t="str">
        <f>HYPERLINK("https://znanium.com/catalog/product/1981723", "Ознакомиться")</f>
        <v>Ознакомиться</v>
      </c>
      <c r="W1200" s="8" t="s">
        <v>124</v>
      </c>
      <c r="X1200" s="6"/>
      <c r="Y1200" s="6"/>
      <c r="Z1200" s="6"/>
      <c r="AA1200" s="6" t="s">
        <v>343</v>
      </c>
    </row>
    <row r="1201" spans="1:27" s="4" customFormat="1" ht="51.95" customHeight="1">
      <c r="A1201" s="5">
        <v>0</v>
      </c>
      <c r="B1201" s="6" t="s">
        <v>6573</v>
      </c>
      <c r="C1201" s="7">
        <v>904.9</v>
      </c>
      <c r="D1201" s="8" t="s">
        <v>6574</v>
      </c>
      <c r="E1201" s="8" t="s">
        <v>6575</v>
      </c>
      <c r="F1201" s="8" t="s">
        <v>3441</v>
      </c>
      <c r="G1201" s="6" t="s">
        <v>37</v>
      </c>
      <c r="H1201" s="6" t="s">
        <v>84</v>
      </c>
      <c r="I1201" s="8" t="s">
        <v>1140</v>
      </c>
      <c r="J1201" s="9">
        <v>1</v>
      </c>
      <c r="K1201" s="9">
        <v>199</v>
      </c>
      <c r="L1201" s="9">
        <v>2023</v>
      </c>
      <c r="M1201" s="8" t="s">
        <v>6576</v>
      </c>
      <c r="N1201" s="8" t="s">
        <v>40</v>
      </c>
      <c r="O1201" s="8" t="s">
        <v>41</v>
      </c>
      <c r="P1201" s="6" t="s">
        <v>75</v>
      </c>
      <c r="Q1201" s="8" t="s">
        <v>1199</v>
      </c>
      <c r="R1201" s="10" t="s">
        <v>318</v>
      </c>
      <c r="S1201" s="11" t="s">
        <v>6577</v>
      </c>
      <c r="T1201" s="6"/>
      <c r="U1201" s="28" t="str">
        <f>HYPERLINK("https://media.infra-m.ru/1932/1932285/cover/1932285.jpg", "Обложка")</f>
        <v>Обложка</v>
      </c>
      <c r="V1201" s="28" t="str">
        <f>HYPERLINK("https://znanium.com/catalog/product/1893810", "Ознакомиться")</f>
        <v>Ознакомиться</v>
      </c>
      <c r="W1201" s="8" t="s">
        <v>124</v>
      </c>
      <c r="X1201" s="6"/>
      <c r="Y1201" s="6"/>
      <c r="Z1201" s="6"/>
      <c r="AA1201" s="6" t="s">
        <v>343</v>
      </c>
    </row>
    <row r="1202" spans="1:27" s="4" customFormat="1" ht="51.95" customHeight="1">
      <c r="A1202" s="5">
        <v>0</v>
      </c>
      <c r="B1202" s="6" t="s">
        <v>6578</v>
      </c>
      <c r="C1202" s="13">
        <v>1394.9</v>
      </c>
      <c r="D1202" s="8" t="s">
        <v>6579</v>
      </c>
      <c r="E1202" s="8" t="s">
        <v>6580</v>
      </c>
      <c r="F1202" s="8" t="s">
        <v>6581</v>
      </c>
      <c r="G1202" s="6" t="s">
        <v>58</v>
      </c>
      <c r="H1202" s="6" t="s">
        <v>1916</v>
      </c>
      <c r="I1202" s="8"/>
      <c r="J1202" s="9">
        <v>1</v>
      </c>
      <c r="K1202" s="9">
        <v>368</v>
      </c>
      <c r="L1202" s="9">
        <v>2022</v>
      </c>
      <c r="M1202" s="8" t="s">
        <v>6582</v>
      </c>
      <c r="N1202" s="8" t="s">
        <v>40</v>
      </c>
      <c r="O1202" s="8" t="s">
        <v>41</v>
      </c>
      <c r="P1202" s="6" t="s">
        <v>95</v>
      </c>
      <c r="Q1202" s="8" t="s">
        <v>76</v>
      </c>
      <c r="R1202" s="10" t="s">
        <v>6583</v>
      </c>
      <c r="S1202" s="11"/>
      <c r="T1202" s="6"/>
      <c r="U1202" s="28" t="str">
        <f>HYPERLINK("https://media.infra-m.ru/1844/1844275/cover/1844275.jpg", "Обложка")</f>
        <v>Обложка</v>
      </c>
      <c r="V1202" s="28" t="str">
        <f>HYPERLINK("https://znanium.com/catalog/product/1844275", "Ознакомиться")</f>
        <v>Ознакомиться</v>
      </c>
      <c r="W1202" s="8" t="s">
        <v>5842</v>
      </c>
      <c r="X1202" s="6"/>
      <c r="Y1202" s="6"/>
      <c r="Z1202" s="6"/>
      <c r="AA1202" s="6" t="s">
        <v>289</v>
      </c>
    </row>
    <row r="1203" spans="1:27" s="4" customFormat="1" ht="51.95" customHeight="1">
      <c r="A1203" s="5">
        <v>0</v>
      </c>
      <c r="B1203" s="6" t="s">
        <v>6584</v>
      </c>
      <c r="C1203" s="13">
        <v>2660</v>
      </c>
      <c r="D1203" s="8" t="s">
        <v>6585</v>
      </c>
      <c r="E1203" s="8" t="s">
        <v>6586</v>
      </c>
      <c r="F1203" s="8" t="s">
        <v>6587</v>
      </c>
      <c r="G1203" s="6" t="s">
        <v>37</v>
      </c>
      <c r="H1203" s="6" t="s">
        <v>38</v>
      </c>
      <c r="I1203" s="8"/>
      <c r="J1203" s="9">
        <v>1</v>
      </c>
      <c r="K1203" s="9">
        <v>592</v>
      </c>
      <c r="L1203" s="9">
        <v>2023</v>
      </c>
      <c r="M1203" s="8" t="s">
        <v>6588</v>
      </c>
      <c r="N1203" s="8" t="s">
        <v>40</v>
      </c>
      <c r="O1203" s="8" t="s">
        <v>41</v>
      </c>
      <c r="P1203" s="6" t="s">
        <v>75</v>
      </c>
      <c r="Q1203" s="8" t="s">
        <v>76</v>
      </c>
      <c r="R1203" s="10" t="s">
        <v>6589</v>
      </c>
      <c r="S1203" s="11" t="s">
        <v>6590</v>
      </c>
      <c r="T1203" s="6"/>
      <c r="U1203" s="28" t="str">
        <f>HYPERLINK("https://media.infra-m.ru/1902/1902732/cover/1902732.jpg", "Обложка")</f>
        <v>Обложка</v>
      </c>
      <c r="V1203" s="28" t="str">
        <f>HYPERLINK("https://znanium.com/catalog/product/1902732", "Ознакомиться")</f>
        <v>Ознакомиться</v>
      </c>
      <c r="W1203" s="8" t="s">
        <v>170</v>
      </c>
      <c r="X1203" s="6"/>
      <c r="Y1203" s="6"/>
      <c r="Z1203" s="6"/>
      <c r="AA1203" s="6" t="s">
        <v>640</v>
      </c>
    </row>
    <row r="1204" spans="1:27" s="4" customFormat="1" ht="51.95" customHeight="1">
      <c r="A1204" s="5">
        <v>0</v>
      </c>
      <c r="B1204" s="6" t="s">
        <v>6591</v>
      </c>
      <c r="C1204" s="7">
        <v>999.9</v>
      </c>
      <c r="D1204" s="8" t="s">
        <v>6592</v>
      </c>
      <c r="E1204" s="8" t="s">
        <v>6593</v>
      </c>
      <c r="F1204" s="8" t="s">
        <v>6594</v>
      </c>
      <c r="G1204" s="6" t="s">
        <v>51</v>
      </c>
      <c r="H1204" s="6" t="s">
        <v>38</v>
      </c>
      <c r="I1204" s="8"/>
      <c r="J1204" s="9">
        <v>16</v>
      </c>
      <c r="K1204" s="9">
        <v>512</v>
      </c>
      <c r="L1204" s="9">
        <v>2016</v>
      </c>
      <c r="M1204" s="8" t="s">
        <v>6595</v>
      </c>
      <c r="N1204" s="8" t="s">
        <v>40</v>
      </c>
      <c r="O1204" s="8" t="s">
        <v>41</v>
      </c>
      <c r="P1204" s="6" t="s">
        <v>75</v>
      </c>
      <c r="Q1204" s="8" t="s">
        <v>76</v>
      </c>
      <c r="R1204" s="10" t="s">
        <v>6589</v>
      </c>
      <c r="S1204" s="11" t="s">
        <v>6590</v>
      </c>
      <c r="T1204" s="6"/>
      <c r="U1204" s="28" t="str">
        <f>HYPERLINK("https://media.infra-m.ru/0544/0544067/cover/544067.jpg", "Обложка")</f>
        <v>Обложка</v>
      </c>
      <c r="V1204" s="28" t="str">
        <f>HYPERLINK("https://znanium.com/catalog/product/1902732", "Ознакомиться")</f>
        <v>Ознакомиться</v>
      </c>
      <c r="W1204" s="8" t="s">
        <v>170</v>
      </c>
      <c r="X1204" s="6"/>
      <c r="Y1204" s="6"/>
      <c r="Z1204" s="6"/>
      <c r="AA1204" s="6" t="s">
        <v>3131</v>
      </c>
    </row>
    <row r="1205" spans="1:27" s="4" customFormat="1" ht="42" customHeight="1">
      <c r="A1205" s="5">
        <v>0</v>
      </c>
      <c r="B1205" s="6" t="s">
        <v>6596</v>
      </c>
      <c r="C1205" s="7">
        <v>720</v>
      </c>
      <c r="D1205" s="8" t="s">
        <v>6597</v>
      </c>
      <c r="E1205" s="8" t="s">
        <v>6598</v>
      </c>
      <c r="F1205" s="8" t="s">
        <v>6599</v>
      </c>
      <c r="G1205" s="6" t="s">
        <v>51</v>
      </c>
      <c r="H1205" s="6" t="s">
        <v>84</v>
      </c>
      <c r="I1205" s="8" t="s">
        <v>251</v>
      </c>
      <c r="J1205" s="9">
        <v>1</v>
      </c>
      <c r="K1205" s="9">
        <v>160</v>
      </c>
      <c r="L1205" s="9">
        <v>2023</v>
      </c>
      <c r="M1205" s="8" t="s">
        <v>6600</v>
      </c>
      <c r="N1205" s="8" t="s">
        <v>40</v>
      </c>
      <c r="O1205" s="8" t="s">
        <v>41</v>
      </c>
      <c r="P1205" s="6" t="s">
        <v>42</v>
      </c>
      <c r="Q1205" s="8" t="s">
        <v>43</v>
      </c>
      <c r="R1205" s="10" t="s">
        <v>6601</v>
      </c>
      <c r="S1205" s="11"/>
      <c r="T1205" s="6"/>
      <c r="U1205" s="28" t="str">
        <f>HYPERLINK("https://media.infra-m.ru/1894/1894020/cover/1894020.jpg", "Обложка")</f>
        <v>Обложка</v>
      </c>
      <c r="V1205" s="28" t="str">
        <f>HYPERLINK("https://znanium.com/catalog/product/1894020", "Ознакомиться")</f>
        <v>Ознакомиться</v>
      </c>
      <c r="W1205" s="8" t="s">
        <v>78</v>
      </c>
      <c r="X1205" s="6"/>
      <c r="Y1205" s="6"/>
      <c r="Z1205" s="6"/>
      <c r="AA1205" s="6" t="s">
        <v>298</v>
      </c>
    </row>
    <row r="1206" spans="1:27" s="4" customFormat="1" ht="51.95" customHeight="1">
      <c r="A1206" s="5">
        <v>0</v>
      </c>
      <c r="B1206" s="6" t="s">
        <v>6602</v>
      </c>
      <c r="C1206" s="7">
        <v>990</v>
      </c>
      <c r="D1206" s="8" t="s">
        <v>6603</v>
      </c>
      <c r="E1206" s="8" t="s">
        <v>6604</v>
      </c>
      <c r="F1206" s="8" t="s">
        <v>6605</v>
      </c>
      <c r="G1206" s="6" t="s">
        <v>37</v>
      </c>
      <c r="H1206" s="6" t="s">
        <v>38</v>
      </c>
      <c r="I1206" s="8"/>
      <c r="J1206" s="9">
        <v>1</v>
      </c>
      <c r="K1206" s="9">
        <v>240</v>
      </c>
      <c r="L1206" s="9">
        <v>2022</v>
      </c>
      <c r="M1206" s="8" t="s">
        <v>6606</v>
      </c>
      <c r="N1206" s="8" t="s">
        <v>40</v>
      </c>
      <c r="O1206" s="8" t="s">
        <v>41</v>
      </c>
      <c r="P1206" s="6" t="s">
        <v>68</v>
      </c>
      <c r="Q1206" s="8" t="s">
        <v>680</v>
      </c>
      <c r="R1206" s="10" t="s">
        <v>60</v>
      </c>
      <c r="S1206" s="11"/>
      <c r="T1206" s="6"/>
      <c r="U1206" s="28" t="str">
        <f>HYPERLINK("https://media.infra-m.ru/1872/1872304/cover/1872304.jpg", "Обложка")</f>
        <v>Обложка</v>
      </c>
      <c r="V1206" s="28" t="str">
        <f>HYPERLINK("https://znanium.com/catalog/product/1872304", "Ознакомиться")</f>
        <v>Ознакомиться</v>
      </c>
      <c r="W1206" s="8" t="s">
        <v>45</v>
      </c>
      <c r="X1206" s="6"/>
      <c r="Y1206" s="6"/>
      <c r="Z1206" s="6"/>
      <c r="AA1206" s="6" t="s">
        <v>115</v>
      </c>
    </row>
    <row r="1207" spans="1:27" s="4" customFormat="1" ht="51.95" customHeight="1">
      <c r="A1207" s="5">
        <v>0</v>
      </c>
      <c r="B1207" s="6" t="s">
        <v>6607</v>
      </c>
      <c r="C1207" s="13">
        <v>1994.9</v>
      </c>
      <c r="D1207" s="8" t="s">
        <v>6608</v>
      </c>
      <c r="E1207" s="8" t="s">
        <v>6609</v>
      </c>
      <c r="F1207" s="8" t="s">
        <v>6610</v>
      </c>
      <c r="G1207" s="6" t="s">
        <v>37</v>
      </c>
      <c r="H1207" s="6" t="s">
        <v>84</v>
      </c>
      <c r="I1207" s="8"/>
      <c r="J1207" s="9">
        <v>1</v>
      </c>
      <c r="K1207" s="9">
        <v>446</v>
      </c>
      <c r="L1207" s="9">
        <v>2023</v>
      </c>
      <c r="M1207" s="8" t="s">
        <v>6611</v>
      </c>
      <c r="N1207" s="8" t="s">
        <v>40</v>
      </c>
      <c r="O1207" s="8" t="s">
        <v>41</v>
      </c>
      <c r="P1207" s="6" t="s">
        <v>42</v>
      </c>
      <c r="Q1207" s="8" t="s">
        <v>296</v>
      </c>
      <c r="R1207" s="10" t="s">
        <v>6612</v>
      </c>
      <c r="S1207" s="11"/>
      <c r="T1207" s="6"/>
      <c r="U1207" s="28" t="str">
        <f>HYPERLINK("https://media.infra-m.ru/1913/1913016/cover/1913016.jpg", "Обложка")</f>
        <v>Обложка</v>
      </c>
      <c r="V1207" s="28" t="str">
        <f>HYPERLINK("https://znanium.com/catalog/product/1071611", "Ознакомиться")</f>
        <v>Ознакомиться</v>
      </c>
      <c r="W1207" s="8" t="s">
        <v>535</v>
      </c>
      <c r="X1207" s="6"/>
      <c r="Y1207" s="6"/>
      <c r="Z1207" s="6"/>
      <c r="AA1207" s="6" t="s">
        <v>298</v>
      </c>
    </row>
    <row r="1208" spans="1:27" s="4" customFormat="1" ht="51.95" customHeight="1">
      <c r="A1208" s="5">
        <v>0</v>
      </c>
      <c r="B1208" s="6" t="s">
        <v>6613</v>
      </c>
      <c r="C1208" s="7">
        <v>880</v>
      </c>
      <c r="D1208" s="8" t="s">
        <v>6614</v>
      </c>
      <c r="E1208" s="8" t="s">
        <v>6615</v>
      </c>
      <c r="F1208" s="8" t="s">
        <v>6616</v>
      </c>
      <c r="G1208" s="6" t="s">
        <v>58</v>
      </c>
      <c r="H1208" s="6" t="s">
        <v>38</v>
      </c>
      <c r="I1208" s="8"/>
      <c r="J1208" s="9">
        <v>1</v>
      </c>
      <c r="K1208" s="9">
        <v>192</v>
      </c>
      <c r="L1208" s="9">
        <v>2024</v>
      </c>
      <c r="M1208" s="8" t="s">
        <v>6617</v>
      </c>
      <c r="N1208" s="8" t="s">
        <v>40</v>
      </c>
      <c r="O1208" s="8" t="s">
        <v>41</v>
      </c>
      <c r="P1208" s="6" t="s">
        <v>42</v>
      </c>
      <c r="Q1208" s="8" t="s">
        <v>43</v>
      </c>
      <c r="R1208" s="10" t="s">
        <v>3107</v>
      </c>
      <c r="S1208" s="11"/>
      <c r="T1208" s="6"/>
      <c r="U1208" s="28" t="str">
        <f>HYPERLINK("https://media.infra-m.ru/2082/2082409/cover/2082409.jpg", "Обложка")</f>
        <v>Обложка</v>
      </c>
      <c r="V1208" s="28" t="str">
        <f>HYPERLINK("https://znanium.com/catalog/product/2082409", "Ознакомиться")</f>
        <v>Ознакомиться</v>
      </c>
      <c r="W1208" s="8"/>
      <c r="X1208" s="6" t="s">
        <v>99</v>
      </c>
      <c r="Y1208" s="6"/>
      <c r="Z1208" s="6"/>
      <c r="AA1208" s="6" t="s">
        <v>100</v>
      </c>
    </row>
    <row r="1209" spans="1:27" s="4" customFormat="1" ht="42" customHeight="1">
      <c r="A1209" s="5">
        <v>0</v>
      </c>
      <c r="B1209" s="6" t="s">
        <v>6618</v>
      </c>
      <c r="C1209" s="13">
        <v>1424</v>
      </c>
      <c r="D1209" s="8" t="s">
        <v>6619</v>
      </c>
      <c r="E1209" s="8" t="s">
        <v>6620</v>
      </c>
      <c r="F1209" s="8" t="s">
        <v>616</v>
      </c>
      <c r="G1209" s="6" t="s">
        <v>37</v>
      </c>
      <c r="H1209" s="6" t="s">
        <v>84</v>
      </c>
      <c r="I1209" s="8" t="s">
        <v>251</v>
      </c>
      <c r="J1209" s="9">
        <v>1</v>
      </c>
      <c r="K1209" s="9">
        <v>315</v>
      </c>
      <c r="L1209" s="9">
        <v>2023</v>
      </c>
      <c r="M1209" s="8" t="s">
        <v>6621</v>
      </c>
      <c r="N1209" s="8" t="s">
        <v>40</v>
      </c>
      <c r="O1209" s="8" t="s">
        <v>41</v>
      </c>
      <c r="P1209" s="6" t="s">
        <v>42</v>
      </c>
      <c r="Q1209" s="8" t="s">
        <v>43</v>
      </c>
      <c r="R1209" s="10" t="s">
        <v>340</v>
      </c>
      <c r="S1209" s="11"/>
      <c r="T1209" s="6"/>
      <c r="U1209" s="28" t="str">
        <f>HYPERLINK("https://media.infra-m.ru/2006/2006063/cover/2006063.jpg", "Обложка")</f>
        <v>Обложка</v>
      </c>
      <c r="V1209" s="28" t="str">
        <f>HYPERLINK("https://znanium.com/catalog/product/983164", "Ознакомиться")</f>
        <v>Ознакомиться</v>
      </c>
      <c r="W1209" s="8" t="s">
        <v>621</v>
      </c>
      <c r="X1209" s="6"/>
      <c r="Y1209" s="6"/>
      <c r="Z1209" s="6"/>
      <c r="AA1209" s="6" t="s">
        <v>46</v>
      </c>
    </row>
    <row r="1210" spans="1:27" s="4" customFormat="1" ht="51.95" customHeight="1">
      <c r="A1210" s="5">
        <v>0</v>
      </c>
      <c r="B1210" s="6" t="s">
        <v>6622</v>
      </c>
      <c r="C1210" s="7">
        <v>880</v>
      </c>
      <c r="D1210" s="8" t="s">
        <v>6623</v>
      </c>
      <c r="E1210" s="8" t="s">
        <v>6624</v>
      </c>
      <c r="F1210" s="8" t="s">
        <v>6625</v>
      </c>
      <c r="G1210" s="6" t="s">
        <v>37</v>
      </c>
      <c r="H1210" s="6" t="s">
        <v>84</v>
      </c>
      <c r="I1210" s="8" t="s">
        <v>185</v>
      </c>
      <c r="J1210" s="9">
        <v>1</v>
      </c>
      <c r="K1210" s="9">
        <v>256</v>
      </c>
      <c r="L1210" s="9">
        <v>2020</v>
      </c>
      <c r="M1210" s="8" t="s">
        <v>6626</v>
      </c>
      <c r="N1210" s="8" t="s">
        <v>40</v>
      </c>
      <c r="O1210" s="8" t="s">
        <v>41</v>
      </c>
      <c r="P1210" s="6" t="s">
        <v>75</v>
      </c>
      <c r="Q1210" s="8" t="s">
        <v>76</v>
      </c>
      <c r="R1210" s="10" t="s">
        <v>6627</v>
      </c>
      <c r="S1210" s="11" t="s">
        <v>6628</v>
      </c>
      <c r="T1210" s="6"/>
      <c r="U1210" s="28" t="str">
        <f>HYPERLINK("https://media.infra-m.ru/1090/1090546/cover/1090546.jpg", "Обложка")</f>
        <v>Обложка</v>
      </c>
      <c r="V1210" s="28" t="str">
        <f>HYPERLINK("https://znanium.com/catalog/product/1090546", "Ознакомиться")</f>
        <v>Ознакомиться</v>
      </c>
      <c r="W1210" s="8" t="s">
        <v>6629</v>
      </c>
      <c r="X1210" s="6"/>
      <c r="Y1210" s="6"/>
      <c r="Z1210" s="6"/>
      <c r="AA1210" s="6" t="s">
        <v>622</v>
      </c>
    </row>
    <row r="1211" spans="1:27" s="4" customFormat="1" ht="51.95" customHeight="1">
      <c r="A1211" s="5">
        <v>0</v>
      </c>
      <c r="B1211" s="6" t="s">
        <v>6630</v>
      </c>
      <c r="C1211" s="13">
        <v>1204.9000000000001</v>
      </c>
      <c r="D1211" s="8" t="s">
        <v>6631</v>
      </c>
      <c r="E1211" s="8" t="s">
        <v>6632</v>
      </c>
      <c r="F1211" s="8" t="s">
        <v>6633</v>
      </c>
      <c r="G1211" s="6" t="s">
        <v>58</v>
      </c>
      <c r="H1211" s="6" t="s">
        <v>84</v>
      </c>
      <c r="I1211" s="8" t="s">
        <v>251</v>
      </c>
      <c r="J1211" s="9">
        <v>1</v>
      </c>
      <c r="K1211" s="9">
        <v>325</v>
      </c>
      <c r="L1211" s="9">
        <v>2021</v>
      </c>
      <c r="M1211" s="8" t="s">
        <v>6634</v>
      </c>
      <c r="N1211" s="8" t="s">
        <v>40</v>
      </c>
      <c r="O1211" s="8" t="s">
        <v>41</v>
      </c>
      <c r="P1211" s="6" t="s">
        <v>42</v>
      </c>
      <c r="Q1211" s="8" t="s">
        <v>43</v>
      </c>
      <c r="R1211" s="10" t="s">
        <v>452</v>
      </c>
      <c r="S1211" s="11"/>
      <c r="T1211" s="6"/>
      <c r="U1211" s="28" t="str">
        <f>HYPERLINK("https://media.infra-m.ru/1209/1209787/cover/1209787.jpg", "Обложка")</f>
        <v>Обложка</v>
      </c>
      <c r="V1211" s="28" t="str">
        <f>HYPERLINK("https://znanium.com/catalog/product/1209787", "Ознакомиться")</f>
        <v>Ознакомиться</v>
      </c>
      <c r="W1211" s="8" t="s">
        <v>3088</v>
      </c>
      <c r="X1211" s="6"/>
      <c r="Y1211" s="6"/>
      <c r="Z1211" s="6"/>
      <c r="AA1211" s="6" t="s">
        <v>46</v>
      </c>
    </row>
    <row r="1212" spans="1:27" s="4" customFormat="1" ht="51.95" customHeight="1">
      <c r="A1212" s="5">
        <v>0</v>
      </c>
      <c r="B1212" s="6" t="s">
        <v>6635</v>
      </c>
      <c r="C1212" s="13">
        <v>1330</v>
      </c>
      <c r="D1212" s="8" t="s">
        <v>6636</v>
      </c>
      <c r="E1212" s="8" t="s">
        <v>6637</v>
      </c>
      <c r="F1212" s="8" t="s">
        <v>1654</v>
      </c>
      <c r="G1212" s="6" t="s">
        <v>37</v>
      </c>
      <c r="H1212" s="6" t="s">
        <v>38</v>
      </c>
      <c r="I1212" s="8"/>
      <c r="J1212" s="9">
        <v>1</v>
      </c>
      <c r="K1212" s="9">
        <v>288</v>
      </c>
      <c r="L1212" s="9">
        <v>2024</v>
      </c>
      <c r="M1212" s="8" t="s">
        <v>6638</v>
      </c>
      <c r="N1212" s="8" t="s">
        <v>40</v>
      </c>
      <c r="O1212" s="8" t="s">
        <v>41</v>
      </c>
      <c r="P1212" s="6" t="s">
        <v>95</v>
      </c>
      <c r="Q1212" s="8" t="s">
        <v>76</v>
      </c>
      <c r="R1212" s="10" t="s">
        <v>4077</v>
      </c>
      <c r="S1212" s="11"/>
      <c r="T1212" s="6"/>
      <c r="U1212" s="28" t="str">
        <f>HYPERLINK("https://media.infra-m.ru/2105/2105793/cover/2105793.jpg", "Обложка")</f>
        <v>Обложка</v>
      </c>
      <c r="V1212" s="28" t="str">
        <f>HYPERLINK("https://znanium.com/catalog/product/1041590", "Ознакомиться")</f>
        <v>Ознакомиться</v>
      </c>
      <c r="W1212" s="8" t="s">
        <v>114</v>
      </c>
      <c r="X1212" s="6"/>
      <c r="Y1212" s="6"/>
      <c r="Z1212" s="6"/>
      <c r="AA1212" s="6" t="s">
        <v>148</v>
      </c>
    </row>
    <row r="1213" spans="1:27" s="4" customFormat="1" ht="51.95" customHeight="1">
      <c r="A1213" s="5">
        <v>0</v>
      </c>
      <c r="B1213" s="6" t="s">
        <v>6639</v>
      </c>
      <c r="C1213" s="13">
        <v>1084</v>
      </c>
      <c r="D1213" s="8" t="s">
        <v>6640</v>
      </c>
      <c r="E1213" s="8" t="s">
        <v>6641</v>
      </c>
      <c r="F1213" s="8" t="s">
        <v>6642</v>
      </c>
      <c r="G1213" s="6" t="s">
        <v>58</v>
      </c>
      <c r="H1213" s="6" t="s">
        <v>52</v>
      </c>
      <c r="I1213" s="8"/>
      <c r="J1213" s="9">
        <v>1</v>
      </c>
      <c r="K1213" s="9">
        <v>242</v>
      </c>
      <c r="L1213" s="9">
        <v>2023</v>
      </c>
      <c r="M1213" s="8" t="s">
        <v>6643</v>
      </c>
      <c r="N1213" s="8" t="s">
        <v>40</v>
      </c>
      <c r="O1213" s="8" t="s">
        <v>41</v>
      </c>
      <c r="P1213" s="6" t="s">
        <v>75</v>
      </c>
      <c r="Q1213" s="8" t="s">
        <v>76</v>
      </c>
      <c r="R1213" s="10" t="s">
        <v>6644</v>
      </c>
      <c r="S1213" s="11" t="s">
        <v>6645</v>
      </c>
      <c r="T1213" s="6" t="s">
        <v>368</v>
      </c>
      <c r="U1213" s="28" t="str">
        <f>HYPERLINK("https://media.infra-m.ru/1998/1998765/cover/1998765.jpg", "Обложка")</f>
        <v>Обложка</v>
      </c>
      <c r="V1213" s="28" t="str">
        <f>HYPERLINK("https://znanium.com/catalog/product/1843176", "Ознакомиться")</f>
        <v>Ознакомиться</v>
      </c>
      <c r="W1213" s="8" t="s">
        <v>237</v>
      </c>
      <c r="X1213" s="6"/>
      <c r="Y1213" s="6"/>
      <c r="Z1213" s="6"/>
      <c r="AA1213" s="6" t="s">
        <v>820</v>
      </c>
    </row>
    <row r="1214" spans="1:27" s="4" customFormat="1" ht="51.95" customHeight="1">
      <c r="A1214" s="5">
        <v>0</v>
      </c>
      <c r="B1214" s="6" t="s">
        <v>6646</v>
      </c>
      <c r="C1214" s="13">
        <v>1160</v>
      </c>
      <c r="D1214" s="8" t="s">
        <v>6647</v>
      </c>
      <c r="E1214" s="8" t="s">
        <v>6648</v>
      </c>
      <c r="F1214" s="8" t="s">
        <v>2253</v>
      </c>
      <c r="G1214" s="6" t="s">
        <v>37</v>
      </c>
      <c r="H1214" s="6" t="s">
        <v>400</v>
      </c>
      <c r="I1214" s="8"/>
      <c r="J1214" s="9">
        <v>1</v>
      </c>
      <c r="K1214" s="9">
        <v>304</v>
      </c>
      <c r="L1214" s="9">
        <v>2022</v>
      </c>
      <c r="M1214" s="8" t="s">
        <v>6649</v>
      </c>
      <c r="N1214" s="8" t="s">
        <v>40</v>
      </c>
      <c r="O1214" s="8" t="s">
        <v>41</v>
      </c>
      <c r="P1214" s="6" t="s">
        <v>75</v>
      </c>
      <c r="Q1214" s="8" t="s">
        <v>76</v>
      </c>
      <c r="R1214" s="10" t="s">
        <v>3939</v>
      </c>
      <c r="S1214" s="11"/>
      <c r="T1214" s="6"/>
      <c r="U1214" s="28" t="str">
        <f>HYPERLINK("https://media.infra-m.ru/1861/1861663/cover/1861663.jpg", "Обложка")</f>
        <v>Обложка</v>
      </c>
      <c r="V1214" s="28" t="str">
        <f>HYPERLINK("https://znanium.com/catalog/product/1861663", "Ознакомиться")</f>
        <v>Ознакомиться</v>
      </c>
      <c r="W1214" s="8" t="s">
        <v>414</v>
      </c>
      <c r="X1214" s="6"/>
      <c r="Y1214" s="6"/>
      <c r="Z1214" s="6"/>
      <c r="AA1214" s="6" t="s">
        <v>559</v>
      </c>
    </row>
    <row r="1215" spans="1:27" s="4" customFormat="1" ht="51.95" customHeight="1">
      <c r="A1215" s="5">
        <v>0</v>
      </c>
      <c r="B1215" s="6" t="s">
        <v>6650</v>
      </c>
      <c r="C1215" s="7">
        <v>984</v>
      </c>
      <c r="D1215" s="8" t="s">
        <v>6651</v>
      </c>
      <c r="E1215" s="8" t="s">
        <v>6652</v>
      </c>
      <c r="F1215" s="8" t="s">
        <v>6653</v>
      </c>
      <c r="G1215" s="6" t="s">
        <v>58</v>
      </c>
      <c r="H1215" s="6" t="s">
        <v>52</v>
      </c>
      <c r="I1215" s="8" t="s">
        <v>185</v>
      </c>
      <c r="J1215" s="9">
        <v>1</v>
      </c>
      <c r="K1215" s="9">
        <v>213</v>
      </c>
      <c r="L1215" s="9">
        <v>2024</v>
      </c>
      <c r="M1215" s="8" t="s">
        <v>6654</v>
      </c>
      <c r="N1215" s="8" t="s">
        <v>40</v>
      </c>
      <c r="O1215" s="8" t="s">
        <v>41</v>
      </c>
      <c r="P1215" s="6" t="s">
        <v>75</v>
      </c>
      <c r="Q1215" s="8" t="s">
        <v>76</v>
      </c>
      <c r="R1215" s="10" t="s">
        <v>6655</v>
      </c>
      <c r="S1215" s="11" t="s">
        <v>6656</v>
      </c>
      <c r="T1215" s="6"/>
      <c r="U1215" s="28" t="str">
        <f>HYPERLINK("https://media.infra-m.ru/2102/2102706/cover/2102706.jpg", "Обложка")</f>
        <v>Обложка</v>
      </c>
      <c r="V1215" s="28" t="str">
        <f>HYPERLINK("https://znanium.com/catalog/product/959974", "Ознакомиться")</f>
        <v>Ознакомиться</v>
      </c>
      <c r="W1215" s="8" t="s">
        <v>78</v>
      </c>
      <c r="X1215" s="6"/>
      <c r="Y1215" s="6"/>
      <c r="Z1215" s="6"/>
      <c r="AA1215" s="6" t="s">
        <v>196</v>
      </c>
    </row>
    <row r="1216" spans="1:27" s="4" customFormat="1" ht="21.95" customHeight="1">
      <c r="A1216" s="5">
        <v>0</v>
      </c>
      <c r="B1216" s="6" t="s">
        <v>6657</v>
      </c>
      <c r="C1216" s="13">
        <v>5899.9</v>
      </c>
      <c r="D1216" s="8" t="s">
        <v>6658</v>
      </c>
      <c r="E1216" s="8" t="s">
        <v>6659</v>
      </c>
      <c r="F1216" s="8" t="s">
        <v>1779</v>
      </c>
      <c r="G1216" s="6" t="s">
        <v>1726</v>
      </c>
      <c r="H1216" s="6" t="s">
        <v>38</v>
      </c>
      <c r="I1216" s="8"/>
      <c r="J1216" s="9">
        <v>1</v>
      </c>
      <c r="K1216" s="9">
        <v>1864</v>
      </c>
      <c r="L1216" s="9">
        <v>2020</v>
      </c>
      <c r="M1216" s="8"/>
      <c r="N1216" s="8" t="s">
        <v>40</v>
      </c>
      <c r="O1216" s="8" t="s">
        <v>41</v>
      </c>
      <c r="P1216" s="6" t="s">
        <v>3969</v>
      </c>
      <c r="Q1216" s="8" t="s">
        <v>76</v>
      </c>
      <c r="R1216" s="10"/>
      <c r="S1216" s="11"/>
      <c r="T1216" s="6"/>
      <c r="U1216" s="12"/>
      <c r="V1216" s="12"/>
      <c r="W1216" s="8" t="s">
        <v>1356</v>
      </c>
      <c r="X1216" s="6"/>
      <c r="Y1216" s="6"/>
      <c r="Z1216" s="6"/>
      <c r="AA1216" s="6" t="s">
        <v>115</v>
      </c>
    </row>
    <row r="1217" spans="1:27" s="4" customFormat="1" ht="51.95" customHeight="1">
      <c r="A1217" s="5">
        <v>0</v>
      </c>
      <c r="B1217" s="6" t="s">
        <v>6660</v>
      </c>
      <c r="C1217" s="7">
        <v>880</v>
      </c>
      <c r="D1217" s="8" t="s">
        <v>6661</v>
      </c>
      <c r="E1217" s="8" t="s">
        <v>6662</v>
      </c>
      <c r="F1217" s="8" t="s">
        <v>6663</v>
      </c>
      <c r="G1217" s="6" t="s">
        <v>37</v>
      </c>
      <c r="H1217" s="6" t="s">
        <v>52</v>
      </c>
      <c r="I1217" s="8" t="s">
        <v>185</v>
      </c>
      <c r="J1217" s="9">
        <v>1</v>
      </c>
      <c r="K1217" s="9">
        <v>195</v>
      </c>
      <c r="L1217" s="9">
        <v>2023</v>
      </c>
      <c r="M1217" s="8" t="s">
        <v>6664</v>
      </c>
      <c r="N1217" s="8" t="s">
        <v>40</v>
      </c>
      <c r="O1217" s="8" t="s">
        <v>41</v>
      </c>
      <c r="P1217" s="6" t="s">
        <v>75</v>
      </c>
      <c r="Q1217" s="8" t="s">
        <v>76</v>
      </c>
      <c r="R1217" s="10" t="s">
        <v>6665</v>
      </c>
      <c r="S1217" s="11" t="s">
        <v>6666</v>
      </c>
      <c r="T1217" s="6"/>
      <c r="U1217" s="28" t="str">
        <f>HYPERLINK("https://media.infra-m.ru/1902/1902915/cover/1902915.jpg", "Обложка")</f>
        <v>Обложка</v>
      </c>
      <c r="V1217" s="28" t="str">
        <f>HYPERLINK("https://znanium.com/catalog/product/1902915", "Ознакомиться")</f>
        <v>Ознакомиться</v>
      </c>
      <c r="W1217" s="8" t="s">
        <v>1957</v>
      </c>
      <c r="X1217" s="6"/>
      <c r="Y1217" s="6"/>
      <c r="Z1217" s="6"/>
      <c r="AA1217" s="6" t="s">
        <v>88</v>
      </c>
    </row>
    <row r="1218" spans="1:27" s="4" customFormat="1" ht="51.95" customHeight="1">
      <c r="A1218" s="5">
        <v>0</v>
      </c>
      <c r="B1218" s="6" t="s">
        <v>6667</v>
      </c>
      <c r="C1218" s="13">
        <v>2650</v>
      </c>
      <c r="D1218" s="8" t="s">
        <v>6668</v>
      </c>
      <c r="E1218" s="8" t="s">
        <v>6669</v>
      </c>
      <c r="F1218" s="8" t="s">
        <v>2067</v>
      </c>
      <c r="G1218" s="6" t="s">
        <v>58</v>
      </c>
      <c r="H1218" s="6" t="s">
        <v>52</v>
      </c>
      <c r="I1218" s="8" t="s">
        <v>120</v>
      </c>
      <c r="J1218" s="9">
        <v>1</v>
      </c>
      <c r="K1218" s="9">
        <v>578</v>
      </c>
      <c r="L1218" s="9">
        <v>2024</v>
      </c>
      <c r="M1218" s="8" t="s">
        <v>6670</v>
      </c>
      <c r="N1218" s="8" t="s">
        <v>40</v>
      </c>
      <c r="O1218" s="8" t="s">
        <v>41</v>
      </c>
      <c r="P1218" s="6" t="s">
        <v>95</v>
      </c>
      <c r="Q1218" s="8" t="s">
        <v>76</v>
      </c>
      <c r="R1218" s="10" t="s">
        <v>6655</v>
      </c>
      <c r="S1218" s="11"/>
      <c r="T1218" s="6"/>
      <c r="U1218" s="28" t="str">
        <f>HYPERLINK("https://media.infra-m.ru/2105/2105791/cover/2105791.jpg", "Обложка")</f>
        <v>Обложка</v>
      </c>
      <c r="V1218" s="28" t="str">
        <f>HYPERLINK("https://znanium.com/catalog/product/2105791", "Ознакомиться")</f>
        <v>Ознакомиться</v>
      </c>
      <c r="W1218" s="8" t="s">
        <v>2069</v>
      </c>
      <c r="X1218" s="6"/>
      <c r="Y1218" s="6"/>
      <c r="Z1218" s="6"/>
      <c r="AA1218" s="6" t="s">
        <v>320</v>
      </c>
    </row>
    <row r="1219" spans="1:27" s="4" customFormat="1" ht="51.95" customHeight="1">
      <c r="A1219" s="5">
        <v>0</v>
      </c>
      <c r="B1219" s="6" t="s">
        <v>6671</v>
      </c>
      <c r="C1219" s="13">
        <v>1894.9</v>
      </c>
      <c r="D1219" s="8" t="s">
        <v>6672</v>
      </c>
      <c r="E1219" s="8" t="s">
        <v>6673</v>
      </c>
      <c r="F1219" s="8" t="s">
        <v>2067</v>
      </c>
      <c r="G1219" s="6" t="s">
        <v>58</v>
      </c>
      <c r="H1219" s="6" t="s">
        <v>6674</v>
      </c>
      <c r="I1219" s="8"/>
      <c r="J1219" s="9">
        <v>1</v>
      </c>
      <c r="K1219" s="9">
        <v>560</v>
      </c>
      <c r="L1219" s="9">
        <v>2021</v>
      </c>
      <c r="M1219" s="8" t="s">
        <v>6675</v>
      </c>
      <c r="N1219" s="8" t="s">
        <v>40</v>
      </c>
      <c r="O1219" s="8" t="s">
        <v>41</v>
      </c>
      <c r="P1219" s="6" t="s">
        <v>95</v>
      </c>
      <c r="Q1219" s="8" t="s">
        <v>76</v>
      </c>
      <c r="R1219" s="10" t="s">
        <v>6655</v>
      </c>
      <c r="S1219" s="11"/>
      <c r="T1219" s="6"/>
      <c r="U1219" s="28" t="str">
        <f>HYPERLINK("https://media.infra-m.ru/1852/1852244/cover/1852244.jpg", "Обложка")</f>
        <v>Обложка</v>
      </c>
      <c r="V1219" s="28" t="str">
        <f>HYPERLINK("https://znanium.com/catalog/product/2105791", "Ознакомиться")</f>
        <v>Ознакомиться</v>
      </c>
      <c r="W1219" s="8" t="s">
        <v>2069</v>
      </c>
      <c r="X1219" s="6"/>
      <c r="Y1219" s="6"/>
      <c r="Z1219" s="6"/>
      <c r="AA1219" s="6" t="s">
        <v>298</v>
      </c>
    </row>
    <row r="1220" spans="1:27" s="4" customFormat="1" ht="51.95" customHeight="1">
      <c r="A1220" s="5">
        <v>0</v>
      </c>
      <c r="B1220" s="6" t="s">
        <v>6676</v>
      </c>
      <c r="C1220" s="13">
        <v>2500</v>
      </c>
      <c r="D1220" s="8" t="s">
        <v>6677</v>
      </c>
      <c r="E1220" s="8" t="s">
        <v>6678</v>
      </c>
      <c r="F1220" s="8" t="s">
        <v>1779</v>
      </c>
      <c r="G1220" s="6" t="s">
        <v>58</v>
      </c>
      <c r="H1220" s="6" t="s">
        <v>38</v>
      </c>
      <c r="I1220" s="8"/>
      <c r="J1220" s="9">
        <v>1</v>
      </c>
      <c r="K1220" s="9">
        <v>544</v>
      </c>
      <c r="L1220" s="9">
        <v>2024</v>
      </c>
      <c r="M1220" s="8" t="s">
        <v>6679</v>
      </c>
      <c r="N1220" s="8" t="s">
        <v>40</v>
      </c>
      <c r="O1220" s="8" t="s">
        <v>41</v>
      </c>
      <c r="P1220" s="6" t="s">
        <v>75</v>
      </c>
      <c r="Q1220" s="8" t="s">
        <v>76</v>
      </c>
      <c r="R1220" s="10" t="s">
        <v>6680</v>
      </c>
      <c r="S1220" s="11"/>
      <c r="T1220" s="6"/>
      <c r="U1220" s="28" t="str">
        <f>HYPERLINK("https://media.infra-m.ru/2114/2114319/cover/2114319.jpg", "Обложка")</f>
        <v>Обложка</v>
      </c>
      <c r="V1220" s="28" t="str">
        <f>HYPERLINK("https://znanium.com/catalog/product/1048094", "Ознакомиться")</f>
        <v>Ознакомиться</v>
      </c>
      <c r="W1220" s="8" t="s">
        <v>1356</v>
      </c>
      <c r="X1220" s="6"/>
      <c r="Y1220" s="6"/>
      <c r="Z1220" s="6"/>
      <c r="AA1220" s="6" t="s">
        <v>115</v>
      </c>
    </row>
    <row r="1221" spans="1:27" s="4" customFormat="1" ht="51.95" customHeight="1">
      <c r="A1221" s="5">
        <v>0</v>
      </c>
      <c r="B1221" s="6" t="s">
        <v>6681</v>
      </c>
      <c r="C1221" s="13">
        <v>2314</v>
      </c>
      <c r="D1221" s="8" t="s">
        <v>6682</v>
      </c>
      <c r="E1221" s="8" t="s">
        <v>6652</v>
      </c>
      <c r="F1221" s="8" t="s">
        <v>6683</v>
      </c>
      <c r="G1221" s="6" t="s">
        <v>37</v>
      </c>
      <c r="H1221" s="6" t="s">
        <v>38</v>
      </c>
      <c r="I1221" s="8"/>
      <c r="J1221" s="9">
        <v>1</v>
      </c>
      <c r="K1221" s="9">
        <v>640</v>
      </c>
      <c r="L1221" s="9">
        <v>2023</v>
      </c>
      <c r="M1221" s="8" t="s">
        <v>6684</v>
      </c>
      <c r="N1221" s="8" t="s">
        <v>40</v>
      </c>
      <c r="O1221" s="8" t="s">
        <v>41</v>
      </c>
      <c r="P1221" s="6" t="s">
        <v>141</v>
      </c>
      <c r="Q1221" s="8" t="s">
        <v>76</v>
      </c>
      <c r="R1221" s="10" t="s">
        <v>6685</v>
      </c>
      <c r="S1221" s="11" t="s">
        <v>6686</v>
      </c>
      <c r="T1221" s="6"/>
      <c r="U1221" s="28" t="str">
        <f>HYPERLINK("https://media.infra-m.ru/1851/1851327/cover/1851327.jpg", "Обложка")</f>
        <v>Обложка</v>
      </c>
      <c r="V1221" s="28" t="str">
        <f>HYPERLINK("https://znanium.com/catalog/product/1817818", "Ознакомиться")</f>
        <v>Ознакомиться</v>
      </c>
      <c r="W1221" s="8" t="s">
        <v>170</v>
      </c>
      <c r="X1221" s="6"/>
      <c r="Y1221" s="6"/>
      <c r="Z1221" s="6"/>
      <c r="AA1221" s="6" t="s">
        <v>3826</v>
      </c>
    </row>
    <row r="1222" spans="1:27" s="4" customFormat="1" ht="51.95" customHeight="1">
      <c r="A1222" s="5">
        <v>0</v>
      </c>
      <c r="B1222" s="6" t="s">
        <v>6687</v>
      </c>
      <c r="C1222" s="13">
        <v>2244</v>
      </c>
      <c r="D1222" s="8" t="s">
        <v>6688</v>
      </c>
      <c r="E1222" s="8" t="s">
        <v>6659</v>
      </c>
      <c r="F1222" s="8" t="s">
        <v>1779</v>
      </c>
      <c r="G1222" s="6" t="s">
        <v>58</v>
      </c>
      <c r="H1222" s="6" t="s">
        <v>38</v>
      </c>
      <c r="I1222" s="8"/>
      <c r="J1222" s="9">
        <v>1</v>
      </c>
      <c r="K1222" s="9">
        <v>488</v>
      </c>
      <c r="L1222" s="9">
        <v>2023</v>
      </c>
      <c r="M1222" s="8" t="s">
        <v>6689</v>
      </c>
      <c r="N1222" s="8" t="s">
        <v>40</v>
      </c>
      <c r="O1222" s="8" t="s">
        <v>41</v>
      </c>
      <c r="P1222" s="6" t="s">
        <v>2566</v>
      </c>
      <c r="Q1222" s="8" t="s">
        <v>680</v>
      </c>
      <c r="R1222" s="10" t="s">
        <v>77</v>
      </c>
      <c r="S1222" s="11"/>
      <c r="T1222" s="6"/>
      <c r="U1222" s="28" t="str">
        <f>HYPERLINK("https://media.infra-m.ru/1977/1977956/cover/1977956.jpg", "Обложка")</f>
        <v>Обложка</v>
      </c>
      <c r="V1222" s="28" t="str">
        <f>HYPERLINK("https://znanium.com/catalog/product/1062795", "Ознакомиться")</f>
        <v>Ознакомиться</v>
      </c>
      <c r="W1222" s="8" t="s">
        <v>1356</v>
      </c>
      <c r="X1222" s="6"/>
      <c r="Y1222" s="6"/>
      <c r="Z1222" s="6"/>
      <c r="AA1222" s="6" t="s">
        <v>115</v>
      </c>
    </row>
    <row r="1223" spans="1:27" s="4" customFormat="1" ht="51.95" customHeight="1">
      <c r="A1223" s="5">
        <v>0</v>
      </c>
      <c r="B1223" s="6" t="s">
        <v>6690</v>
      </c>
      <c r="C1223" s="7">
        <v>804</v>
      </c>
      <c r="D1223" s="8" t="s">
        <v>6691</v>
      </c>
      <c r="E1223" s="8" t="s">
        <v>6692</v>
      </c>
      <c r="F1223" s="8" t="s">
        <v>1779</v>
      </c>
      <c r="G1223" s="6" t="s">
        <v>37</v>
      </c>
      <c r="H1223" s="6" t="s">
        <v>38</v>
      </c>
      <c r="I1223" s="8"/>
      <c r="J1223" s="9">
        <v>1</v>
      </c>
      <c r="K1223" s="9">
        <v>176</v>
      </c>
      <c r="L1223" s="9">
        <v>2024</v>
      </c>
      <c r="M1223" s="8" t="s">
        <v>6693</v>
      </c>
      <c r="N1223" s="8" t="s">
        <v>40</v>
      </c>
      <c r="O1223" s="8" t="s">
        <v>41</v>
      </c>
      <c r="P1223" s="6" t="s">
        <v>75</v>
      </c>
      <c r="Q1223" s="8" t="s">
        <v>76</v>
      </c>
      <c r="R1223" s="10" t="s">
        <v>6694</v>
      </c>
      <c r="S1223" s="11"/>
      <c r="T1223" s="6"/>
      <c r="U1223" s="28" t="str">
        <f>HYPERLINK("https://media.infra-m.ru/2114/2114326/cover/2114326.jpg", "Обложка")</f>
        <v>Обложка</v>
      </c>
      <c r="V1223" s="28" t="str">
        <f>HYPERLINK("https://znanium.com/catalog/product/1843033", "Ознакомиться")</f>
        <v>Ознакомиться</v>
      </c>
      <c r="W1223" s="8" t="s">
        <v>1356</v>
      </c>
      <c r="X1223" s="6"/>
      <c r="Y1223" s="6"/>
      <c r="Z1223" s="6"/>
      <c r="AA1223" s="6" t="s">
        <v>115</v>
      </c>
    </row>
    <row r="1224" spans="1:27" s="4" customFormat="1" ht="51.95" customHeight="1">
      <c r="A1224" s="5">
        <v>0</v>
      </c>
      <c r="B1224" s="6" t="s">
        <v>6695</v>
      </c>
      <c r="C1224" s="13">
        <v>2700</v>
      </c>
      <c r="D1224" s="8" t="s">
        <v>6696</v>
      </c>
      <c r="E1224" s="8" t="s">
        <v>6659</v>
      </c>
      <c r="F1224" s="8" t="s">
        <v>6697</v>
      </c>
      <c r="G1224" s="6" t="s">
        <v>58</v>
      </c>
      <c r="H1224" s="6" t="s">
        <v>38</v>
      </c>
      <c r="I1224" s="8"/>
      <c r="J1224" s="9">
        <v>1</v>
      </c>
      <c r="K1224" s="9">
        <v>656</v>
      </c>
      <c r="L1224" s="9">
        <v>2024</v>
      </c>
      <c r="M1224" s="8" t="s">
        <v>6698</v>
      </c>
      <c r="N1224" s="8" t="s">
        <v>40</v>
      </c>
      <c r="O1224" s="8" t="s">
        <v>41</v>
      </c>
      <c r="P1224" s="6" t="s">
        <v>95</v>
      </c>
      <c r="Q1224" s="8" t="s">
        <v>76</v>
      </c>
      <c r="R1224" s="10" t="s">
        <v>6694</v>
      </c>
      <c r="S1224" s="11"/>
      <c r="T1224" s="6"/>
      <c r="U1224" s="28" t="str">
        <f>HYPERLINK("https://media.infra-m.ru/2114/2114317/cover/2114317.jpg", "Обложка")</f>
        <v>Обложка</v>
      </c>
      <c r="V1224" s="28" t="str">
        <f>HYPERLINK("https://znanium.com/catalog/product/2114317", "Ознакомиться")</f>
        <v>Ознакомиться</v>
      </c>
      <c r="W1224" s="8" t="s">
        <v>1356</v>
      </c>
      <c r="X1224" s="6"/>
      <c r="Y1224" s="6"/>
      <c r="Z1224" s="6"/>
      <c r="AA1224" s="6" t="s">
        <v>115</v>
      </c>
    </row>
    <row r="1225" spans="1:27" s="4" customFormat="1" ht="51.95" customHeight="1">
      <c r="A1225" s="5">
        <v>0</v>
      </c>
      <c r="B1225" s="6" t="s">
        <v>6699</v>
      </c>
      <c r="C1225" s="13">
        <v>2540</v>
      </c>
      <c r="D1225" s="8" t="s">
        <v>6700</v>
      </c>
      <c r="E1225" s="8" t="s">
        <v>6701</v>
      </c>
      <c r="F1225" s="8" t="s">
        <v>6702</v>
      </c>
      <c r="G1225" s="6" t="s">
        <v>58</v>
      </c>
      <c r="H1225" s="6" t="s">
        <v>38</v>
      </c>
      <c r="I1225" s="8"/>
      <c r="J1225" s="9">
        <v>1</v>
      </c>
      <c r="K1225" s="9">
        <v>552</v>
      </c>
      <c r="L1225" s="9">
        <v>2024</v>
      </c>
      <c r="M1225" s="8" t="s">
        <v>6703</v>
      </c>
      <c r="N1225" s="8" t="s">
        <v>40</v>
      </c>
      <c r="O1225" s="8" t="s">
        <v>41</v>
      </c>
      <c r="P1225" s="6" t="s">
        <v>95</v>
      </c>
      <c r="Q1225" s="8" t="s">
        <v>76</v>
      </c>
      <c r="R1225" s="10" t="s">
        <v>6704</v>
      </c>
      <c r="S1225" s="11" t="s">
        <v>847</v>
      </c>
      <c r="T1225" s="6"/>
      <c r="U1225" s="28" t="str">
        <f>HYPERLINK("https://media.infra-m.ru/2117/2117635/cover/2117635.jpg", "Обложка")</f>
        <v>Обложка</v>
      </c>
      <c r="V1225" s="28" t="str">
        <f>HYPERLINK("https://znanium.com/catalog/product/1893868", "Ознакомиться")</f>
        <v>Ознакомиться</v>
      </c>
      <c r="W1225" s="8" t="s">
        <v>124</v>
      </c>
      <c r="X1225" s="6"/>
      <c r="Y1225" s="6"/>
      <c r="Z1225" s="6"/>
      <c r="AA1225" s="6" t="s">
        <v>2351</v>
      </c>
    </row>
    <row r="1226" spans="1:27" s="4" customFormat="1" ht="51.95" customHeight="1">
      <c r="A1226" s="5">
        <v>0</v>
      </c>
      <c r="B1226" s="6" t="s">
        <v>6705</v>
      </c>
      <c r="C1226" s="13">
        <v>1724.9</v>
      </c>
      <c r="D1226" s="8" t="s">
        <v>6706</v>
      </c>
      <c r="E1226" s="8" t="s">
        <v>6659</v>
      </c>
      <c r="F1226" s="8" t="s">
        <v>6707</v>
      </c>
      <c r="G1226" s="6" t="s">
        <v>58</v>
      </c>
      <c r="H1226" s="6" t="s">
        <v>38</v>
      </c>
      <c r="I1226" s="8"/>
      <c r="J1226" s="9">
        <v>1</v>
      </c>
      <c r="K1226" s="9">
        <v>384</v>
      </c>
      <c r="L1226" s="9">
        <v>2023</v>
      </c>
      <c r="M1226" s="8" t="s">
        <v>6708</v>
      </c>
      <c r="N1226" s="8" t="s">
        <v>40</v>
      </c>
      <c r="O1226" s="8" t="s">
        <v>41</v>
      </c>
      <c r="P1226" s="6" t="s">
        <v>95</v>
      </c>
      <c r="Q1226" s="8" t="s">
        <v>76</v>
      </c>
      <c r="R1226" s="10" t="s">
        <v>3939</v>
      </c>
      <c r="S1226" s="11" t="s">
        <v>2576</v>
      </c>
      <c r="T1226" s="6"/>
      <c r="U1226" s="28" t="str">
        <f>HYPERLINK("https://media.infra-m.ru/1913/1913788/cover/1913788.jpg", "Обложка")</f>
        <v>Обложка</v>
      </c>
      <c r="V1226" s="28" t="str">
        <f>HYPERLINK("https://znanium.com/catalog/product/1853507", "Ознакомиться")</f>
        <v>Ознакомиться</v>
      </c>
      <c r="W1226" s="8" t="s">
        <v>170</v>
      </c>
      <c r="X1226" s="6"/>
      <c r="Y1226" s="6"/>
      <c r="Z1226" s="6"/>
      <c r="AA1226" s="6" t="s">
        <v>706</v>
      </c>
    </row>
    <row r="1227" spans="1:27" s="4" customFormat="1" ht="51.95" customHeight="1">
      <c r="A1227" s="5">
        <v>0</v>
      </c>
      <c r="B1227" s="6" t="s">
        <v>6709</v>
      </c>
      <c r="C1227" s="13">
        <v>2480</v>
      </c>
      <c r="D1227" s="8" t="s">
        <v>6710</v>
      </c>
      <c r="E1227" s="8" t="s">
        <v>6659</v>
      </c>
      <c r="F1227" s="8" t="s">
        <v>882</v>
      </c>
      <c r="G1227" s="6" t="s">
        <v>58</v>
      </c>
      <c r="H1227" s="6" t="s">
        <v>52</v>
      </c>
      <c r="I1227" s="8" t="s">
        <v>2171</v>
      </c>
      <c r="J1227" s="9">
        <v>1</v>
      </c>
      <c r="K1227" s="9">
        <v>540</v>
      </c>
      <c r="L1227" s="9">
        <v>2023</v>
      </c>
      <c r="M1227" s="8" t="s">
        <v>6711</v>
      </c>
      <c r="N1227" s="8" t="s">
        <v>40</v>
      </c>
      <c r="O1227" s="8" t="s">
        <v>41</v>
      </c>
      <c r="P1227" s="6" t="s">
        <v>95</v>
      </c>
      <c r="Q1227" s="8" t="s">
        <v>680</v>
      </c>
      <c r="R1227" s="10" t="s">
        <v>6712</v>
      </c>
      <c r="S1227" s="11"/>
      <c r="T1227" s="6"/>
      <c r="U1227" s="28" t="str">
        <f>HYPERLINK("https://media.infra-m.ru/2063/2063337/cover/2063337.jpg", "Обложка")</f>
        <v>Обложка</v>
      </c>
      <c r="V1227" s="12"/>
      <c r="W1227" s="8" t="s">
        <v>884</v>
      </c>
      <c r="X1227" s="6"/>
      <c r="Y1227" s="6"/>
      <c r="Z1227" s="6"/>
      <c r="AA1227" s="6" t="s">
        <v>343</v>
      </c>
    </row>
    <row r="1228" spans="1:27" s="4" customFormat="1" ht="51.95" customHeight="1">
      <c r="A1228" s="5">
        <v>0</v>
      </c>
      <c r="B1228" s="6" t="s">
        <v>6713</v>
      </c>
      <c r="C1228" s="13">
        <v>1040</v>
      </c>
      <c r="D1228" s="8" t="s">
        <v>6714</v>
      </c>
      <c r="E1228" s="8" t="s">
        <v>6659</v>
      </c>
      <c r="F1228" s="8" t="s">
        <v>5601</v>
      </c>
      <c r="G1228" s="6" t="s">
        <v>37</v>
      </c>
      <c r="H1228" s="6" t="s">
        <v>38</v>
      </c>
      <c r="I1228" s="8"/>
      <c r="J1228" s="9">
        <v>1</v>
      </c>
      <c r="K1228" s="9">
        <v>232</v>
      </c>
      <c r="L1228" s="9">
        <v>2023</v>
      </c>
      <c r="M1228" s="8" t="s">
        <v>6715</v>
      </c>
      <c r="N1228" s="8" t="s">
        <v>40</v>
      </c>
      <c r="O1228" s="8" t="s">
        <v>41</v>
      </c>
      <c r="P1228" s="6" t="s">
        <v>95</v>
      </c>
      <c r="Q1228" s="8" t="s">
        <v>76</v>
      </c>
      <c r="R1228" s="10" t="s">
        <v>6694</v>
      </c>
      <c r="S1228" s="11"/>
      <c r="T1228" s="6"/>
      <c r="U1228" s="28" t="str">
        <f>HYPERLINK("https://media.infra-m.ru/1914/1914753/cover/1914753.jpg", "Обложка")</f>
        <v>Обложка</v>
      </c>
      <c r="V1228" s="28" t="str">
        <f>HYPERLINK("https://znanium.com/catalog/product/1914753", "Ознакомиться")</f>
        <v>Ознакомиться</v>
      </c>
      <c r="W1228" s="8" t="s">
        <v>195</v>
      </c>
      <c r="X1228" s="6"/>
      <c r="Y1228" s="6"/>
      <c r="Z1228" s="6"/>
      <c r="AA1228" s="6" t="s">
        <v>115</v>
      </c>
    </row>
    <row r="1229" spans="1:27" s="4" customFormat="1" ht="51.95" customHeight="1">
      <c r="A1229" s="5">
        <v>0</v>
      </c>
      <c r="B1229" s="6" t="s">
        <v>6716</v>
      </c>
      <c r="C1229" s="13">
        <v>1050</v>
      </c>
      <c r="D1229" s="8" t="s">
        <v>6717</v>
      </c>
      <c r="E1229" s="8" t="s">
        <v>6659</v>
      </c>
      <c r="F1229" s="8" t="s">
        <v>2061</v>
      </c>
      <c r="G1229" s="6" t="s">
        <v>37</v>
      </c>
      <c r="H1229" s="6" t="s">
        <v>84</v>
      </c>
      <c r="I1229" s="8" t="s">
        <v>120</v>
      </c>
      <c r="J1229" s="9">
        <v>1</v>
      </c>
      <c r="K1229" s="9">
        <v>233</v>
      </c>
      <c r="L1229" s="9">
        <v>2023</v>
      </c>
      <c r="M1229" s="8" t="s">
        <v>6718</v>
      </c>
      <c r="N1229" s="8" t="s">
        <v>40</v>
      </c>
      <c r="O1229" s="8" t="s">
        <v>41</v>
      </c>
      <c r="P1229" s="6" t="s">
        <v>95</v>
      </c>
      <c r="Q1229" s="8" t="s">
        <v>680</v>
      </c>
      <c r="R1229" s="10" t="s">
        <v>6704</v>
      </c>
      <c r="S1229" s="11" t="s">
        <v>6719</v>
      </c>
      <c r="T1229" s="6"/>
      <c r="U1229" s="28" t="str">
        <f>HYPERLINK("https://media.infra-m.ru/2002/2002668/cover/2002668.jpg", "Обложка")</f>
        <v>Обложка</v>
      </c>
      <c r="V1229" s="28" t="str">
        <f>HYPERLINK("https://znanium.com/catalog/product/2002668", "Ознакомиться")</f>
        <v>Ознакомиться</v>
      </c>
      <c r="W1229" s="8" t="s">
        <v>2064</v>
      </c>
      <c r="X1229" s="6"/>
      <c r="Y1229" s="6"/>
      <c r="Z1229" s="6"/>
      <c r="AA1229" s="6" t="s">
        <v>46</v>
      </c>
    </row>
    <row r="1230" spans="1:27" s="4" customFormat="1" ht="51.95" customHeight="1">
      <c r="A1230" s="5">
        <v>0</v>
      </c>
      <c r="B1230" s="6" t="s">
        <v>6720</v>
      </c>
      <c r="C1230" s="13">
        <v>1670</v>
      </c>
      <c r="D1230" s="8" t="s">
        <v>6721</v>
      </c>
      <c r="E1230" s="8" t="s">
        <v>6722</v>
      </c>
      <c r="F1230" s="8" t="s">
        <v>6723</v>
      </c>
      <c r="G1230" s="6" t="s">
        <v>37</v>
      </c>
      <c r="H1230" s="6" t="s">
        <v>38</v>
      </c>
      <c r="I1230" s="8"/>
      <c r="J1230" s="9">
        <v>1</v>
      </c>
      <c r="K1230" s="9">
        <v>464</v>
      </c>
      <c r="L1230" s="9">
        <v>2021</v>
      </c>
      <c r="M1230" s="8" t="s">
        <v>6724</v>
      </c>
      <c r="N1230" s="8" t="s">
        <v>40</v>
      </c>
      <c r="O1230" s="8" t="s">
        <v>41</v>
      </c>
      <c r="P1230" s="6" t="s">
        <v>95</v>
      </c>
      <c r="Q1230" s="8" t="s">
        <v>76</v>
      </c>
      <c r="R1230" s="10" t="s">
        <v>6704</v>
      </c>
      <c r="S1230" s="11"/>
      <c r="T1230" s="6"/>
      <c r="U1230" s="28" t="str">
        <f>HYPERLINK("https://media.infra-m.ru/2108/2108997/cover/2108997.jpg", "Обложка")</f>
        <v>Обложка</v>
      </c>
      <c r="V1230" s="28" t="str">
        <f>HYPERLINK("https://znanium.com/catalog/product/2107265", "Ознакомиться")</f>
        <v>Ознакомиться</v>
      </c>
      <c r="W1230" s="8" t="s">
        <v>712</v>
      </c>
      <c r="X1230" s="6"/>
      <c r="Y1230" s="6"/>
      <c r="Z1230" s="6"/>
      <c r="AA1230" s="6" t="s">
        <v>6725</v>
      </c>
    </row>
    <row r="1231" spans="1:27" s="4" customFormat="1" ht="51.95" customHeight="1">
      <c r="A1231" s="5">
        <v>0</v>
      </c>
      <c r="B1231" s="6" t="s">
        <v>6726</v>
      </c>
      <c r="C1231" s="13">
        <v>1034.9000000000001</v>
      </c>
      <c r="D1231" s="8" t="s">
        <v>6727</v>
      </c>
      <c r="E1231" s="8" t="s">
        <v>6659</v>
      </c>
      <c r="F1231" s="8" t="s">
        <v>4776</v>
      </c>
      <c r="G1231" s="6" t="s">
        <v>58</v>
      </c>
      <c r="H1231" s="6" t="s">
        <v>84</v>
      </c>
      <c r="I1231" s="8" t="s">
        <v>185</v>
      </c>
      <c r="J1231" s="9">
        <v>1</v>
      </c>
      <c r="K1231" s="9">
        <v>272</v>
      </c>
      <c r="L1231" s="9">
        <v>2022</v>
      </c>
      <c r="M1231" s="8" t="s">
        <v>6728</v>
      </c>
      <c r="N1231" s="8" t="s">
        <v>40</v>
      </c>
      <c r="O1231" s="8" t="s">
        <v>41</v>
      </c>
      <c r="P1231" s="6" t="s">
        <v>95</v>
      </c>
      <c r="Q1231" s="8" t="s">
        <v>76</v>
      </c>
      <c r="R1231" s="10" t="s">
        <v>452</v>
      </c>
      <c r="S1231" s="11" t="s">
        <v>6729</v>
      </c>
      <c r="T1231" s="6"/>
      <c r="U1231" s="28" t="str">
        <f>HYPERLINK("https://media.infra-m.ru/1844/1844273/cover/1844273.jpg", "Обложка")</f>
        <v>Обложка</v>
      </c>
      <c r="V1231" s="28" t="str">
        <f>HYPERLINK("https://znanium.com/catalog/product/1844273", "Ознакомиться")</f>
        <v>Ознакомиться</v>
      </c>
      <c r="W1231" s="8" t="s">
        <v>2373</v>
      </c>
      <c r="X1231" s="6"/>
      <c r="Y1231" s="6"/>
      <c r="Z1231" s="6"/>
      <c r="AA1231" s="6" t="s">
        <v>289</v>
      </c>
    </row>
    <row r="1232" spans="1:27" s="4" customFormat="1" ht="51.95" customHeight="1">
      <c r="A1232" s="5">
        <v>0</v>
      </c>
      <c r="B1232" s="6" t="s">
        <v>6730</v>
      </c>
      <c r="C1232" s="13">
        <v>1230</v>
      </c>
      <c r="D1232" s="8" t="s">
        <v>6731</v>
      </c>
      <c r="E1232" s="8" t="s">
        <v>6659</v>
      </c>
      <c r="F1232" s="8" t="s">
        <v>2370</v>
      </c>
      <c r="G1232" s="6" t="s">
        <v>37</v>
      </c>
      <c r="H1232" s="6" t="s">
        <v>84</v>
      </c>
      <c r="I1232" s="8" t="s">
        <v>93</v>
      </c>
      <c r="J1232" s="9">
        <v>1</v>
      </c>
      <c r="K1232" s="9">
        <v>272</v>
      </c>
      <c r="L1232" s="9">
        <v>2023</v>
      </c>
      <c r="M1232" s="8" t="s">
        <v>6732</v>
      </c>
      <c r="N1232" s="8" t="s">
        <v>40</v>
      </c>
      <c r="O1232" s="8" t="s">
        <v>41</v>
      </c>
      <c r="P1232" s="6" t="s">
        <v>95</v>
      </c>
      <c r="Q1232" s="8" t="s">
        <v>96</v>
      </c>
      <c r="R1232" s="10" t="s">
        <v>6733</v>
      </c>
      <c r="S1232" s="11" t="s">
        <v>6734</v>
      </c>
      <c r="T1232" s="6"/>
      <c r="U1232" s="28" t="str">
        <f>HYPERLINK("https://media.infra-m.ru/1932/1932342/cover/1932342.jpg", "Обложка")</f>
        <v>Обложка</v>
      </c>
      <c r="V1232" s="28" t="str">
        <f>HYPERLINK("https://znanium.com/catalog/product/1932342", "Ознакомиться")</f>
        <v>Ознакомиться</v>
      </c>
      <c r="W1232" s="8" t="s">
        <v>2373</v>
      </c>
      <c r="X1232" s="6"/>
      <c r="Y1232" s="6"/>
      <c r="Z1232" s="6" t="s">
        <v>136</v>
      </c>
      <c r="AA1232" s="6" t="s">
        <v>46</v>
      </c>
    </row>
    <row r="1233" spans="1:27" s="4" customFormat="1" ht="51.95" customHeight="1">
      <c r="A1233" s="5">
        <v>0</v>
      </c>
      <c r="B1233" s="6" t="s">
        <v>6735</v>
      </c>
      <c r="C1233" s="13">
        <v>2354</v>
      </c>
      <c r="D1233" s="8" t="s">
        <v>6736</v>
      </c>
      <c r="E1233" s="8" t="s">
        <v>6737</v>
      </c>
      <c r="F1233" s="8" t="s">
        <v>6738</v>
      </c>
      <c r="G1233" s="6" t="s">
        <v>58</v>
      </c>
      <c r="H1233" s="6" t="s">
        <v>192</v>
      </c>
      <c r="I1233" s="8" t="s">
        <v>120</v>
      </c>
      <c r="J1233" s="9">
        <v>1</v>
      </c>
      <c r="K1233" s="9">
        <v>512</v>
      </c>
      <c r="L1233" s="9">
        <v>2022</v>
      </c>
      <c r="M1233" s="8" t="s">
        <v>6739</v>
      </c>
      <c r="N1233" s="8" t="s">
        <v>40</v>
      </c>
      <c r="O1233" s="8" t="s">
        <v>41</v>
      </c>
      <c r="P1233" s="6" t="s">
        <v>95</v>
      </c>
      <c r="Q1233" s="8" t="s">
        <v>76</v>
      </c>
      <c r="R1233" s="10" t="s">
        <v>1763</v>
      </c>
      <c r="S1233" s="11" t="s">
        <v>2604</v>
      </c>
      <c r="T1233" s="6"/>
      <c r="U1233" s="28" t="str">
        <f>HYPERLINK("https://media.infra-m.ru/1832/1832415/cover/1832415.jpg", "Обложка")</f>
        <v>Обложка</v>
      </c>
      <c r="V1233" s="28" t="str">
        <f>HYPERLINK("https://znanium.com/catalog/product/1832415", "Ознакомиться")</f>
        <v>Ознакомиться</v>
      </c>
      <c r="W1233" s="8" t="s">
        <v>414</v>
      </c>
      <c r="X1233" s="6"/>
      <c r="Y1233" s="6"/>
      <c r="Z1233" s="6"/>
      <c r="AA1233" s="6" t="s">
        <v>5321</v>
      </c>
    </row>
    <row r="1234" spans="1:27" s="4" customFormat="1" ht="51.95" customHeight="1">
      <c r="A1234" s="5">
        <v>0</v>
      </c>
      <c r="B1234" s="6" t="s">
        <v>6740</v>
      </c>
      <c r="C1234" s="13">
        <v>2244</v>
      </c>
      <c r="D1234" s="8" t="s">
        <v>6741</v>
      </c>
      <c r="E1234" s="8" t="s">
        <v>6742</v>
      </c>
      <c r="F1234" s="8" t="s">
        <v>6743</v>
      </c>
      <c r="G1234" s="6" t="s">
        <v>58</v>
      </c>
      <c r="H1234" s="6" t="s">
        <v>52</v>
      </c>
      <c r="I1234" s="8" t="s">
        <v>185</v>
      </c>
      <c r="J1234" s="9">
        <v>1</v>
      </c>
      <c r="K1234" s="9">
        <v>488</v>
      </c>
      <c r="L1234" s="9">
        <v>2023</v>
      </c>
      <c r="M1234" s="8" t="s">
        <v>6744</v>
      </c>
      <c r="N1234" s="8" t="s">
        <v>40</v>
      </c>
      <c r="O1234" s="8" t="s">
        <v>41</v>
      </c>
      <c r="P1234" s="6" t="s">
        <v>95</v>
      </c>
      <c r="Q1234" s="8" t="s">
        <v>76</v>
      </c>
      <c r="R1234" s="10" t="s">
        <v>1763</v>
      </c>
      <c r="S1234" s="11" t="s">
        <v>3000</v>
      </c>
      <c r="T1234" s="6"/>
      <c r="U1234" s="28" t="str">
        <f>HYPERLINK("https://media.infra-m.ru/2112/2112447/cover/2112447.jpg", "Обложка")</f>
        <v>Обложка</v>
      </c>
      <c r="V1234" s="28" t="str">
        <f>HYPERLINK("https://znanium.com/catalog/product/1042681", "Ознакомиться")</f>
        <v>Ознакомиться</v>
      </c>
      <c r="W1234" s="8" t="s">
        <v>2069</v>
      </c>
      <c r="X1234" s="6"/>
      <c r="Y1234" s="6"/>
      <c r="Z1234" s="6"/>
      <c r="AA1234" s="6" t="s">
        <v>6745</v>
      </c>
    </row>
    <row r="1235" spans="1:27" s="4" customFormat="1" ht="51.95" customHeight="1">
      <c r="A1235" s="5">
        <v>0</v>
      </c>
      <c r="B1235" s="6" t="s">
        <v>6746</v>
      </c>
      <c r="C1235" s="13">
        <v>1374</v>
      </c>
      <c r="D1235" s="8" t="s">
        <v>6747</v>
      </c>
      <c r="E1235" s="8" t="s">
        <v>6659</v>
      </c>
      <c r="F1235" s="8" t="s">
        <v>6743</v>
      </c>
      <c r="G1235" s="6" t="s">
        <v>58</v>
      </c>
      <c r="H1235" s="6" t="s">
        <v>52</v>
      </c>
      <c r="I1235" s="8" t="s">
        <v>120</v>
      </c>
      <c r="J1235" s="9">
        <v>1</v>
      </c>
      <c r="K1235" s="9">
        <v>299</v>
      </c>
      <c r="L1235" s="9">
        <v>2023</v>
      </c>
      <c r="M1235" s="8" t="s">
        <v>6748</v>
      </c>
      <c r="N1235" s="8" t="s">
        <v>40</v>
      </c>
      <c r="O1235" s="8" t="s">
        <v>41</v>
      </c>
      <c r="P1235" s="6" t="s">
        <v>75</v>
      </c>
      <c r="Q1235" s="8" t="s">
        <v>76</v>
      </c>
      <c r="R1235" s="10" t="s">
        <v>6655</v>
      </c>
      <c r="S1235" s="11" t="s">
        <v>1764</v>
      </c>
      <c r="T1235" s="6"/>
      <c r="U1235" s="28" t="str">
        <f>HYPERLINK("https://media.infra-m.ru/1901/1901764/cover/1901764.jpg", "Обложка")</f>
        <v>Обложка</v>
      </c>
      <c r="V1235" s="28" t="str">
        <f>HYPERLINK("https://znanium.com/catalog/product/1840466", "Ознакомиться")</f>
        <v>Ознакомиться</v>
      </c>
      <c r="W1235" s="8" t="s">
        <v>2069</v>
      </c>
      <c r="X1235" s="6"/>
      <c r="Y1235" s="6"/>
      <c r="Z1235" s="6"/>
      <c r="AA1235" s="6" t="s">
        <v>2477</v>
      </c>
    </row>
    <row r="1236" spans="1:27" s="4" customFormat="1" ht="44.1" customHeight="1">
      <c r="A1236" s="5">
        <v>0</v>
      </c>
      <c r="B1236" s="6" t="s">
        <v>6749</v>
      </c>
      <c r="C1236" s="13">
        <v>1790</v>
      </c>
      <c r="D1236" s="8" t="s">
        <v>6750</v>
      </c>
      <c r="E1236" s="8" t="s">
        <v>6659</v>
      </c>
      <c r="F1236" s="8" t="s">
        <v>6751</v>
      </c>
      <c r="G1236" s="6" t="s">
        <v>58</v>
      </c>
      <c r="H1236" s="6" t="s">
        <v>38</v>
      </c>
      <c r="I1236" s="8" t="s">
        <v>1166</v>
      </c>
      <c r="J1236" s="9">
        <v>1</v>
      </c>
      <c r="K1236" s="9">
        <v>432</v>
      </c>
      <c r="L1236" s="9">
        <v>2024</v>
      </c>
      <c r="M1236" s="8" t="s">
        <v>6752</v>
      </c>
      <c r="N1236" s="8" t="s">
        <v>40</v>
      </c>
      <c r="O1236" s="8" t="s">
        <v>41</v>
      </c>
      <c r="P1236" s="6" t="s">
        <v>95</v>
      </c>
      <c r="Q1236" s="8" t="s">
        <v>96</v>
      </c>
      <c r="R1236" s="10" t="s">
        <v>1680</v>
      </c>
      <c r="S1236" s="11"/>
      <c r="T1236" s="6"/>
      <c r="U1236" s="28" t="str">
        <f>HYPERLINK("https://media.infra-m.ru/2084/2084418/cover/2084418.jpg", "Обложка")</f>
        <v>Обложка</v>
      </c>
      <c r="V1236" s="28" t="str">
        <f>HYPERLINK("https://znanium.com/catalog/product/2084418", "Ознакомиться")</f>
        <v>Ознакомиться</v>
      </c>
      <c r="W1236" s="8" t="s">
        <v>78</v>
      </c>
      <c r="X1236" s="6"/>
      <c r="Y1236" s="6"/>
      <c r="Z1236" s="6"/>
      <c r="AA1236" s="6" t="s">
        <v>719</v>
      </c>
    </row>
    <row r="1237" spans="1:27" s="4" customFormat="1" ht="51.95" customHeight="1">
      <c r="A1237" s="5">
        <v>0</v>
      </c>
      <c r="B1237" s="6" t="s">
        <v>6753</v>
      </c>
      <c r="C1237" s="13">
        <v>1294.9000000000001</v>
      </c>
      <c r="D1237" s="8" t="s">
        <v>6754</v>
      </c>
      <c r="E1237" s="8" t="s">
        <v>6755</v>
      </c>
      <c r="F1237" s="8" t="s">
        <v>2067</v>
      </c>
      <c r="G1237" s="6" t="s">
        <v>58</v>
      </c>
      <c r="H1237" s="6" t="s">
        <v>52</v>
      </c>
      <c r="I1237" s="8" t="s">
        <v>185</v>
      </c>
      <c r="J1237" s="9">
        <v>1</v>
      </c>
      <c r="K1237" s="9">
        <v>475</v>
      </c>
      <c r="L1237" s="9">
        <v>2020</v>
      </c>
      <c r="M1237" s="8" t="s">
        <v>6756</v>
      </c>
      <c r="N1237" s="8" t="s">
        <v>40</v>
      </c>
      <c r="O1237" s="8" t="s">
        <v>41</v>
      </c>
      <c r="P1237" s="6" t="s">
        <v>95</v>
      </c>
      <c r="Q1237" s="8" t="s">
        <v>76</v>
      </c>
      <c r="R1237" s="10" t="s">
        <v>1763</v>
      </c>
      <c r="S1237" s="11" t="s">
        <v>3000</v>
      </c>
      <c r="T1237" s="6"/>
      <c r="U1237" s="28" t="str">
        <f>HYPERLINK("https://media.infra-m.ru/1042/1042681/cover/1042681.jpg", "Обложка")</f>
        <v>Обложка</v>
      </c>
      <c r="V1237" s="28" t="str">
        <f>HYPERLINK("https://znanium.com/catalog/product/1042681", "Ознакомиться")</f>
        <v>Ознакомиться</v>
      </c>
      <c r="W1237" s="8" t="s">
        <v>2069</v>
      </c>
      <c r="X1237" s="6"/>
      <c r="Y1237" s="6"/>
      <c r="Z1237" s="6"/>
      <c r="AA1237" s="6" t="s">
        <v>229</v>
      </c>
    </row>
    <row r="1238" spans="1:27" s="4" customFormat="1" ht="51.95" customHeight="1">
      <c r="A1238" s="5">
        <v>0</v>
      </c>
      <c r="B1238" s="6" t="s">
        <v>6757</v>
      </c>
      <c r="C1238" s="13">
        <v>1450</v>
      </c>
      <c r="D1238" s="8" t="s">
        <v>6758</v>
      </c>
      <c r="E1238" s="8" t="s">
        <v>6759</v>
      </c>
      <c r="F1238" s="8" t="s">
        <v>2157</v>
      </c>
      <c r="G1238" s="6" t="s">
        <v>37</v>
      </c>
      <c r="H1238" s="6" t="s">
        <v>84</v>
      </c>
      <c r="I1238" s="8" t="s">
        <v>120</v>
      </c>
      <c r="J1238" s="9">
        <v>1</v>
      </c>
      <c r="K1238" s="9">
        <v>322</v>
      </c>
      <c r="L1238" s="9">
        <v>2023</v>
      </c>
      <c r="M1238" s="8" t="s">
        <v>6760</v>
      </c>
      <c r="N1238" s="8" t="s">
        <v>40</v>
      </c>
      <c r="O1238" s="8" t="s">
        <v>41</v>
      </c>
      <c r="P1238" s="6" t="s">
        <v>75</v>
      </c>
      <c r="Q1238" s="8" t="s">
        <v>76</v>
      </c>
      <c r="R1238" s="10" t="s">
        <v>6761</v>
      </c>
      <c r="S1238" s="11" t="s">
        <v>6762</v>
      </c>
      <c r="T1238" s="6" t="s">
        <v>368</v>
      </c>
      <c r="U1238" s="28" t="str">
        <f>HYPERLINK("https://media.infra-m.ru/2002/2002647/cover/2002647.jpg", "Обложка")</f>
        <v>Обложка</v>
      </c>
      <c r="V1238" s="28" t="str">
        <f>HYPERLINK("https://znanium.com/catalog/product/2002647", "Ознакомиться")</f>
        <v>Ознакомиться</v>
      </c>
      <c r="W1238" s="8" t="s">
        <v>195</v>
      </c>
      <c r="X1238" s="6"/>
      <c r="Y1238" s="6"/>
      <c r="Z1238" s="6"/>
      <c r="AA1238" s="6" t="s">
        <v>524</v>
      </c>
    </row>
    <row r="1239" spans="1:27" s="4" customFormat="1" ht="51.95" customHeight="1">
      <c r="A1239" s="5">
        <v>0</v>
      </c>
      <c r="B1239" s="6" t="s">
        <v>6763</v>
      </c>
      <c r="C1239" s="13">
        <v>1684</v>
      </c>
      <c r="D1239" s="8" t="s">
        <v>6764</v>
      </c>
      <c r="E1239" s="8" t="s">
        <v>6659</v>
      </c>
      <c r="F1239" s="8" t="s">
        <v>6765</v>
      </c>
      <c r="G1239" s="6" t="s">
        <v>37</v>
      </c>
      <c r="H1239" s="6" t="s">
        <v>84</v>
      </c>
      <c r="I1239" s="8" t="s">
        <v>1491</v>
      </c>
      <c r="J1239" s="9">
        <v>1</v>
      </c>
      <c r="K1239" s="9">
        <v>365</v>
      </c>
      <c r="L1239" s="9">
        <v>2024</v>
      </c>
      <c r="M1239" s="8" t="s">
        <v>6766</v>
      </c>
      <c r="N1239" s="8" t="s">
        <v>40</v>
      </c>
      <c r="O1239" s="8" t="s">
        <v>41</v>
      </c>
      <c r="P1239" s="6" t="s">
        <v>75</v>
      </c>
      <c r="Q1239" s="8" t="s">
        <v>76</v>
      </c>
      <c r="R1239" s="10" t="s">
        <v>6665</v>
      </c>
      <c r="S1239" s="11"/>
      <c r="T1239" s="6"/>
      <c r="U1239" s="28" t="str">
        <f>HYPERLINK("https://media.infra-m.ru/2107/2107422/cover/2107422.jpg", "Обложка")</f>
        <v>Обложка</v>
      </c>
      <c r="V1239" s="28" t="str">
        <f>HYPERLINK("https://znanium.com/catalog/product/966282", "Ознакомиться")</f>
        <v>Ознакомиться</v>
      </c>
      <c r="W1239" s="8" t="s">
        <v>334</v>
      </c>
      <c r="X1239" s="6"/>
      <c r="Y1239" s="6"/>
      <c r="Z1239" s="6"/>
      <c r="AA1239" s="6" t="s">
        <v>79</v>
      </c>
    </row>
    <row r="1240" spans="1:27" s="4" customFormat="1" ht="51.95" customHeight="1">
      <c r="A1240" s="5">
        <v>0</v>
      </c>
      <c r="B1240" s="6" t="s">
        <v>6767</v>
      </c>
      <c r="C1240" s="13">
        <v>2160</v>
      </c>
      <c r="D1240" s="8" t="s">
        <v>6768</v>
      </c>
      <c r="E1240" s="8" t="s">
        <v>6652</v>
      </c>
      <c r="F1240" s="8" t="s">
        <v>2332</v>
      </c>
      <c r="G1240" s="6" t="s">
        <v>37</v>
      </c>
      <c r="H1240" s="6" t="s">
        <v>38</v>
      </c>
      <c r="I1240" s="8"/>
      <c r="J1240" s="9">
        <v>1</v>
      </c>
      <c r="K1240" s="9">
        <v>480</v>
      </c>
      <c r="L1240" s="9">
        <v>2023</v>
      </c>
      <c r="M1240" s="8" t="s">
        <v>6769</v>
      </c>
      <c r="N1240" s="8" t="s">
        <v>40</v>
      </c>
      <c r="O1240" s="8" t="s">
        <v>41</v>
      </c>
      <c r="P1240" s="6" t="s">
        <v>75</v>
      </c>
      <c r="Q1240" s="8" t="s">
        <v>76</v>
      </c>
      <c r="R1240" s="10" t="s">
        <v>6644</v>
      </c>
      <c r="S1240" s="11"/>
      <c r="T1240" s="6"/>
      <c r="U1240" s="28" t="str">
        <f>HYPERLINK("https://media.infra-m.ru/1932/1932283/cover/1932283.jpg", "Обложка")</f>
        <v>Обложка</v>
      </c>
      <c r="V1240" s="28" t="str">
        <f>HYPERLINK("https://znanium.com/catalog/product/1932283", "Ознакомиться")</f>
        <v>Ознакомиться</v>
      </c>
      <c r="W1240" s="8" t="s">
        <v>535</v>
      </c>
      <c r="X1240" s="6"/>
      <c r="Y1240" s="6"/>
      <c r="Z1240" s="6"/>
      <c r="AA1240" s="6" t="s">
        <v>635</v>
      </c>
    </row>
    <row r="1241" spans="1:27" s="4" customFormat="1" ht="51.95" customHeight="1">
      <c r="A1241" s="5">
        <v>0</v>
      </c>
      <c r="B1241" s="6" t="s">
        <v>6770</v>
      </c>
      <c r="C1241" s="13">
        <v>2520</v>
      </c>
      <c r="D1241" s="8" t="s">
        <v>6771</v>
      </c>
      <c r="E1241" s="8" t="s">
        <v>6652</v>
      </c>
      <c r="F1241" s="8" t="s">
        <v>6772</v>
      </c>
      <c r="G1241" s="6" t="s">
        <v>37</v>
      </c>
      <c r="H1241" s="6" t="s">
        <v>38</v>
      </c>
      <c r="I1241" s="8"/>
      <c r="J1241" s="9">
        <v>1</v>
      </c>
      <c r="K1241" s="9">
        <v>560</v>
      </c>
      <c r="L1241" s="9">
        <v>2023</v>
      </c>
      <c r="M1241" s="8" t="s">
        <v>6773</v>
      </c>
      <c r="N1241" s="8" t="s">
        <v>40</v>
      </c>
      <c r="O1241" s="8" t="s">
        <v>41</v>
      </c>
      <c r="P1241" s="6" t="s">
        <v>95</v>
      </c>
      <c r="Q1241" s="8" t="s">
        <v>76</v>
      </c>
      <c r="R1241" s="10" t="s">
        <v>558</v>
      </c>
      <c r="S1241" s="11"/>
      <c r="T1241" s="6"/>
      <c r="U1241" s="28" t="str">
        <f>HYPERLINK("https://media.infra-m.ru/1895/1895227/cover/1895227.jpg", "Обложка")</f>
        <v>Обложка</v>
      </c>
      <c r="V1241" s="28" t="str">
        <f>HYPERLINK("https://znanium.com/catalog/product/1895227", "Ознакомиться")</f>
        <v>Ознакомиться</v>
      </c>
      <c r="W1241" s="8" t="s">
        <v>1482</v>
      </c>
      <c r="X1241" s="6"/>
      <c r="Y1241" s="6"/>
      <c r="Z1241" s="6"/>
      <c r="AA1241" s="6" t="s">
        <v>635</v>
      </c>
    </row>
    <row r="1242" spans="1:27" s="4" customFormat="1" ht="51.95" customHeight="1">
      <c r="A1242" s="5">
        <v>0</v>
      </c>
      <c r="B1242" s="6" t="s">
        <v>6774</v>
      </c>
      <c r="C1242" s="13">
        <v>1500</v>
      </c>
      <c r="D1242" s="8" t="s">
        <v>6775</v>
      </c>
      <c r="E1242" s="8" t="s">
        <v>6759</v>
      </c>
      <c r="F1242" s="8" t="s">
        <v>6772</v>
      </c>
      <c r="G1242" s="6" t="s">
        <v>37</v>
      </c>
      <c r="H1242" s="6" t="s">
        <v>38</v>
      </c>
      <c r="I1242" s="8"/>
      <c r="J1242" s="9">
        <v>1</v>
      </c>
      <c r="K1242" s="9">
        <v>576</v>
      </c>
      <c r="L1242" s="9">
        <v>2017</v>
      </c>
      <c r="M1242" s="8" t="s">
        <v>6776</v>
      </c>
      <c r="N1242" s="8" t="s">
        <v>40</v>
      </c>
      <c r="O1242" s="8" t="s">
        <v>41</v>
      </c>
      <c r="P1242" s="6" t="s">
        <v>75</v>
      </c>
      <c r="Q1242" s="8" t="s">
        <v>76</v>
      </c>
      <c r="R1242" s="10" t="s">
        <v>558</v>
      </c>
      <c r="S1242" s="11"/>
      <c r="T1242" s="6"/>
      <c r="U1242" s="28" t="str">
        <f>HYPERLINK("https://media.infra-m.ru/0953/0953234/cover/953234.jpg", "Обложка")</f>
        <v>Обложка</v>
      </c>
      <c r="V1242" s="28" t="str">
        <f>HYPERLINK("https://znanium.com/catalog/product/1895227", "Ознакомиться")</f>
        <v>Ознакомиться</v>
      </c>
      <c r="W1242" s="8" t="s">
        <v>1482</v>
      </c>
      <c r="X1242" s="6"/>
      <c r="Y1242" s="6"/>
      <c r="Z1242" s="6"/>
      <c r="AA1242" s="6" t="s">
        <v>2139</v>
      </c>
    </row>
    <row r="1243" spans="1:27" s="4" customFormat="1" ht="51.95" customHeight="1">
      <c r="A1243" s="5">
        <v>0</v>
      </c>
      <c r="B1243" s="6" t="s">
        <v>6777</v>
      </c>
      <c r="C1243" s="7">
        <v>410</v>
      </c>
      <c r="D1243" s="8" t="s">
        <v>6778</v>
      </c>
      <c r="E1243" s="8" t="s">
        <v>6652</v>
      </c>
      <c r="F1243" s="8" t="s">
        <v>6779</v>
      </c>
      <c r="G1243" s="6" t="s">
        <v>51</v>
      </c>
      <c r="H1243" s="6" t="s">
        <v>52</v>
      </c>
      <c r="I1243" s="8" t="s">
        <v>3026</v>
      </c>
      <c r="J1243" s="9">
        <v>1</v>
      </c>
      <c r="K1243" s="9">
        <v>126</v>
      </c>
      <c r="L1243" s="9">
        <v>2022</v>
      </c>
      <c r="M1243" s="8" t="s">
        <v>6780</v>
      </c>
      <c r="N1243" s="8" t="s">
        <v>40</v>
      </c>
      <c r="O1243" s="8" t="s">
        <v>41</v>
      </c>
      <c r="P1243" s="6" t="s">
        <v>75</v>
      </c>
      <c r="Q1243" s="8" t="s">
        <v>76</v>
      </c>
      <c r="R1243" s="10" t="s">
        <v>1763</v>
      </c>
      <c r="S1243" s="11"/>
      <c r="T1243" s="6"/>
      <c r="U1243" s="28" t="str">
        <f>HYPERLINK("https://media.infra-m.ru/1872/1872327/cover/1872327.jpg", "Обложка")</f>
        <v>Обложка</v>
      </c>
      <c r="V1243" s="28" t="str">
        <f>HYPERLINK("https://znanium.com/catalog/product/1872327", "Ознакомиться")</f>
        <v>Ознакомиться</v>
      </c>
      <c r="W1243" s="8" t="s">
        <v>114</v>
      </c>
      <c r="X1243" s="6"/>
      <c r="Y1243" s="6"/>
      <c r="Z1243" s="6"/>
      <c r="AA1243" s="6" t="s">
        <v>855</v>
      </c>
    </row>
    <row r="1244" spans="1:27" s="4" customFormat="1" ht="51.95" customHeight="1">
      <c r="A1244" s="5">
        <v>0</v>
      </c>
      <c r="B1244" s="6" t="s">
        <v>6781</v>
      </c>
      <c r="C1244" s="7">
        <v>169.9</v>
      </c>
      <c r="D1244" s="8" t="s">
        <v>6782</v>
      </c>
      <c r="E1244" s="8" t="s">
        <v>6759</v>
      </c>
      <c r="F1244" s="8" t="s">
        <v>799</v>
      </c>
      <c r="G1244" s="6" t="s">
        <v>51</v>
      </c>
      <c r="H1244" s="6" t="s">
        <v>52</v>
      </c>
      <c r="I1244" s="8" t="s">
        <v>226</v>
      </c>
      <c r="J1244" s="9">
        <v>1</v>
      </c>
      <c r="K1244" s="9">
        <v>80</v>
      </c>
      <c r="L1244" s="9">
        <v>2022</v>
      </c>
      <c r="M1244" s="8" t="s">
        <v>6783</v>
      </c>
      <c r="N1244" s="8" t="s">
        <v>40</v>
      </c>
      <c r="O1244" s="8" t="s">
        <v>41</v>
      </c>
      <c r="P1244" s="6" t="s">
        <v>228</v>
      </c>
      <c r="Q1244" s="8" t="s">
        <v>76</v>
      </c>
      <c r="R1244" s="10" t="s">
        <v>6784</v>
      </c>
      <c r="S1244" s="11"/>
      <c r="T1244" s="6"/>
      <c r="U1244" s="28" t="str">
        <f>HYPERLINK("https://media.infra-m.ru/1853/1853508/cover/1853508.jpg", "Обложка")</f>
        <v>Обложка</v>
      </c>
      <c r="V1244" s="28" t="str">
        <f>HYPERLINK("https://znanium.com/catalog/product/522007", "Ознакомиться")</f>
        <v>Ознакомиться</v>
      </c>
      <c r="W1244" s="8"/>
      <c r="X1244" s="6"/>
      <c r="Y1244" s="6"/>
      <c r="Z1244" s="6"/>
      <c r="AA1244" s="6" t="s">
        <v>215</v>
      </c>
    </row>
    <row r="1245" spans="1:27" s="4" customFormat="1" ht="51.95" customHeight="1">
      <c r="A1245" s="5">
        <v>0</v>
      </c>
      <c r="B1245" s="6" t="s">
        <v>6785</v>
      </c>
      <c r="C1245" s="13">
        <v>2364.9</v>
      </c>
      <c r="D1245" s="8" t="s">
        <v>6786</v>
      </c>
      <c r="E1245" s="8" t="s">
        <v>6652</v>
      </c>
      <c r="F1245" s="8" t="s">
        <v>6642</v>
      </c>
      <c r="G1245" s="6" t="s">
        <v>58</v>
      </c>
      <c r="H1245" s="6" t="s">
        <v>52</v>
      </c>
      <c r="I1245" s="8" t="s">
        <v>185</v>
      </c>
      <c r="J1245" s="9">
        <v>1</v>
      </c>
      <c r="K1245" s="9">
        <v>526</v>
      </c>
      <c r="L1245" s="9">
        <v>2023</v>
      </c>
      <c r="M1245" s="8" t="s">
        <v>6787</v>
      </c>
      <c r="N1245" s="8" t="s">
        <v>40</v>
      </c>
      <c r="O1245" s="8" t="s">
        <v>41</v>
      </c>
      <c r="P1245" s="6" t="s">
        <v>75</v>
      </c>
      <c r="Q1245" s="8" t="s">
        <v>76</v>
      </c>
      <c r="R1245" s="10" t="s">
        <v>168</v>
      </c>
      <c r="S1245" s="11"/>
      <c r="T1245" s="6"/>
      <c r="U1245" s="28" t="str">
        <f>HYPERLINK("https://media.infra-m.ru/1911/1911786/cover/1911786.jpg", "Обложка")</f>
        <v>Обложка</v>
      </c>
      <c r="V1245" s="28" t="str">
        <f>HYPERLINK("https://znanium.com/catalog/product/1009915", "Ознакомиться")</f>
        <v>Ознакомиться</v>
      </c>
      <c r="W1245" s="8" t="s">
        <v>237</v>
      </c>
      <c r="X1245" s="6"/>
      <c r="Y1245" s="6"/>
      <c r="Z1245" s="6"/>
      <c r="AA1245" s="6" t="s">
        <v>820</v>
      </c>
    </row>
    <row r="1246" spans="1:27" s="4" customFormat="1" ht="51.95" customHeight="1">
      <c r="A1246" s="5">
        <v>0</v>
      </c>
      <c r="B1246" s="6" t="s">
        <v>6788</v>
      </c>
      <c r="C1246" s="13">
        <v>1470</v>
      </c>
      <c r="D1246" s="8" t="s">
        <v>6789</v>
      </c>
      <c r="E1246" s="8" t="s">
        <v>6790</v>
      </c>
      <c r="F1246" s="8" t="s">
        <v>6791</v>
      </c>
      <c r="G1246" s="6" t="s">
        <v>37</v>
      </c>
      <c r="H1246" s="6" t="s">
        <v>38</v>
      </c>
      <c r="I1246" s="8"/>
      <c r="J1246" s="9">
        <v>1</v>
      </c>
      <c r="K1246" s="9">
        <v>320</v>
      </c>
      <c r="L1246" s="9">
        <v>2024</v>
      </c>
      <c r="M1246" s="8" t="s">
        <v>6792</v>
      </c>
      <c r="N1246" s="8" t="s">
        <v>40</v>
      </c>
      <c r="O1246" s="8" t="s">
        <v>41</v>
      </c>
      <c r="P1246" s="6" t="s">
        <v>95</v>
      </c>
      <c r="Q1246" s="8" t="s">
        <v>157</v>
      </c>
      <c r="R1246" s="10" t="s">
        <v>318</v>
      </c>
      <c r="S1246" s="11"/>
      <c r="T1246" s="6"/>
      <c r="U1246" s="28" t="str">
        <f>HYPERLINK("https://media.infra-m.ru/2122/2122505/cover/2122505.jpg", "Обложка")</f>
        <v>Обложка</v>
      </c>
      <c r="V1246" s="28" t="str">
        <f>HYPERLINK("https://znanium.com/catalog/product/2122505", "Ознакомиться")</f>
        <v>Ознакомиться</v>
      </c>
      <c r="W1246" s="8" t="s">
        <v>414</v>
      </c>
      <c r="X1246" s="6"/>
      <c r="Y1246" s="6"/>
      <c r="Z1246" s="6"/>
      <c r="AA1246" s="6" t="s">
        <v>79</v>
      </c>
    </row>
    <row r="1247" spans="1:27" s="4" customFormat="1" ht="51.95" customHeight="1">
      <c r="A1247" s="5">
        <v>0</v>
      </c>
      <c r="B1247" s="6" t="s">
        <v>6793</v>
      </c>
      <c r="C1247" s="13">
        <v>2004</v>
      </c>
      <c r="D1247" s="8" t="s">
        <v>6794</v>
      </c>
      <c r="E1247" s="8" t="s">
        <v>6795</v>
      </c>
      <c r="F1247" s="8" t="s">
        <v>6791</v>
      </c>
      <c r="G1247" s="6" t="s">
        <v>58</v>
      </c>
      <c r="H1247" s="6" t="s">
        <v>38</v>
      </c>
      <c r="I1247" s="8"/>
      <c r="J1247" s="9">
        <v>1</v>
      </c>
      <c r="K1247" s="9">
        <v>288</v>
      </c>
      <c r="L1247" s="9">
        <v>2023</v>
      </c>
      <c r="M1247" s="8" t="s">
        <v>6796</v>
      </c>
      <c r="N1247" s="8" t="s">
        <v>40</v>
      </c>
      <c r="O1247" s="8" t="s">
        <v>41</v>
      </c>
      <c r="P1247" s="6" t="s">
        <v>95</v>
      </c>
      <c r="Q1247" s="8" t="s">
        <v>157</v>
      </c>
      <c r="R1247" s="10" t="s">
        <v>122</v>
      </c>
      <c r="S1247" s="11"/>
      <c r="T1247" s="6"/>
      <c r="U1247" s="28" t="str">
        <f>HYPERLINK("https://media.infra-m.ru/1895/1895643/cover/1895643.jpg", "Обложка")</f>
        <v>Обложка</v>
      </c>
      <c r="V1247" s="28" t="str">
        <f>HYPERLINK("https://znanium.com/catalog/product/1914629", "Ознакомиться")</f>
        <v>Ознакомиться</v>
      </c>
      <c r="W1247" s="8" t="s">
        <v>414</v>
      </c>
      <c r="X1247" s="6"/>
      <c r="Y1247" s="6"/>
      <c r="Z1247" s="6"/>
      <c r="AA1247" s="6" t="s">
        <v>79</v>
      </c>
    </row>
    <row r="1248" spans="1:27" s="4" customFormat="1" ht="51.95" customHeight="1">
      <c r="A1248" s="5">
        <v>0</v>
      </c>
      <c r="B1248" s="6" t="s">
        <v>6797</v>
      </c>
      <c r="C1248" s="13">
        <v>1300</v>
      </c>
      <c r="D1248" s="8" t="s">
        <v>6798</v>
      </c>
      <c r="E1248" s="8" t="s">
        <v>6799</v>
      </c>
      <c r="F1248" s="8" t="s">
        <v>2920</v>
      </c>
      <c r="G1248" s="6" t="s">
        <v>37</v>
      </c>
      <c r="H1248" s="6" t="s">
        <v>38</v>
      </c>
      <c r="I1248" s="8"/>
      <c r="J1248" s="9">
        <v>1</v>
      </c>
      <c r="K1248" s="9">
        <v>288</v>
      </c>
      <c r="L1248" s="9">
        <v>2023</v>
      </c>
      <c r="M1248" s="8" t="s">
        <v>6800</v>
      </c>
      <c r="N1248" s="8" t="s">
        <v>40</v>
      </c>
      <c r="O1248" s="8" t="s">
        <v>41</v>
      </c>
      <c r="P1248" s="6" t="s">
        <v>75</v>
      </c>
      <c r="Q1248" s="8" t="s">
        <v>157</v>
      </c>
      <c r="R1248" s="10" t="s">
        <v>5825</v>
      </c>
      <c r="S1248" s="11"/>
      <c r="T1248" s="6"/>
      <c r="U1248" s="28" t="str">
        <f>HYPERLINK("https://media.infra-m.ru/1902/1902910/cover/1902910.jpg", "Обложка")</f>
        <v>Обложка</v>
      </c>
      <c r="V1248" s="28" t="str">
        <f>HYPERLINK("https://znanium.com/catalog/product/1902910", "Ознакомиться")</f>
        <v>Ознакомиться</v>
      </c>
      <c r="W1248" s="8" t="s">
        <v>114</v>
      </c>
      <c r="X1248" s="6"/>
      <c r="Y1248" s="6"/>
      <c r="Z1248" s="6"/>
      <c r="AA1248" s="6" t="s">
        <v>343</v>
      </c>
    </row>
    <row r="1249" spans="1:27" s="4" customFormat="1" ht="51.95" customHeight="1">
      <c r="A1249" s="5">
        <v>0</v>
      </c>
      <c r="B1249" s="6" t="s">
        <v>6801</v>
      </c>
      <c r="C1249" s="7">
        <v>560</v>
      </c>
      <c r="D1249" s="8" t="s">
        <v>6802</v>
      </c>
      <c r="E1249" s="8" t="s">
        <v>6803</v>
      </c>
      <c r="F1249" s="8" t="s">
        <v>6804</v>
      </c>
      <c r="G1249" s="6" t="s">
        <v>51</v>
      </c>
      <c r="H1249" s="6" t="s">
        <v>38</v>
      </c>
      <c r="I1249" s="8"/>
      <c r="J1249" s="9">
        <v>1</v>
      </c>
      <c r="K1249" s="9">
        <v>112</v>
      </c>
      <c r="L1249" s="9">
        <v>2023</v>
      </c>
      <c r="M1249" s="8" t="s">
        <v>6805</v>
      </c>
      <c r="N1249" s="8" t="s">
        <v>40</v>
      </c>
      <c r="O1249" s="8" t="s">
        <v>41</v>
      </c>
      <c r="P1249" s="6" t="s">
        <v>75</v>
      </c>
      <c r="Q1249" s="8" t="s">
        <v>157</v>
      </c>
      <c r="R1249" s="10" t="s">
        <v>122</v>
      </c>
      <c r="S1249" s="11"/>
      <c r="T1249" s="6"/>
      <c r="U1249" s="28" t="str">
        <f>HYPERLINK("https://media.infra-m.ru/1984/1984022/cover/1984022.jpg", "Обложка")</f>
        <v>Обложка</v>
      </c>
      <c r="V1249" s="28" t="str">
        <f>HYPERLINK("https://znanium.com/catalog/product/1984022", "Ознакомиться")</f>
        <v>Ознакомиться</v>
      </c>
      <c r="W1249" s="8" t="s">
        <v>114</v>
      </c>
      <c r="X1249" s="6"/>
      <c r="Y1249" s="6"/>
      <c r="Z1249" s="6"/>
      <c r="AA1249" s="6" t="s">
        <v>88</v>
      </c>
    </row>
    <row r="1250" spans="1:27" s="4" customFormat="1" ht="51.95" customHeight="1">
      <c r="A1250" s="5">
        <v>0</v>
      </c>
      <c r="B1250" s="6" t="s">
        <v>6806</v>
      </c>
      <c r="C1250" s="13">
        <v>1580</v>
      </c>
      <c r="D1250" s="8" t="s">
        <v>6807</v>
      </c>
      <c r="E1250" s="8" t="s">
        <v>6808</v>
      </c>
      <c r="F1250" s="8" t="s">
        <v>6809</v>
      </c>
      <c r="G1250" s="6" t="s">
        <v>51</v>
      </c>
      <c r="H1250" s="6" t="s">
        <v>38</v>
      </c>
      <c r="I1250" s="8" t="s">
        <v>1087</v>
      </c>
      <c r="J1250" s="9">
        <v>1</v>
      </c>
      <c r="K1250" s="9">
        <v>352</v>
      </c>
      <c r="L1250" s="9">
        <v>2023</v>
      </c>
      <c r="M1250" s="8" t="s">
        <v>6810</v>
      </c>
      <c r="N1250" s="8" t="s">
        <v>40</v>
      </c>
      <c r="O1250" s="8" t="s">
        <v>41</v>
      </c>
      <c r="P1250" s="6" t="s">
        <v>523</v>
      </c>
      <c r="Q1250" s="8" t="s">
        <v>76</v>
      </c>
      <c r="R1250" s="10" t="s">
        <v>122</v>
      </c>
      <c r="S1250" s="11"/>
      <c r="T1250" s="6"/>
      <c r="U1250" s="28" t="str">
        <f>HYPERLINK("https://media.infra-m.ru/1894/1894148/cover/1894148.jpg", "Обложка")</f>
        <v>Обложка</v>
      </c>
      <c r="V1250" s="28" t="str">
        <f>HYPERLINK("https://znanium.com/catalog/product/1894148", "Ознакомиться")</f>
        <v>Ознакомиться</v>
      </c>
      <c r="W1250" s="8" t="s">
        <v>1362</v>
      </c>
      <c r="X1250" s="6"/>
      <c r="Y1250" s="6"/>
      <c r="Z1250" s="6"/>
      <c r="AA1250" s="6" t="s">
        <v>2351</v>
      </c>
    </row>
    <row r="1251" spans="1:27" s="4" customFormat="1" ht="51.95" customHeight="1">
      <c r="A1251" s="5">
        <v>0</v>
      </c>
      <c r="B1251" s="6" t="s">
        <v>6811</v>
      </c>
      <c r="C1251" s="13">
        <v>1100</v>
      </c>
      <c r="D1251" s="8" t="s">
        <v>6812</v>
      </c>
      <c r="E1251" s="8" t="s">
        <v>6813</v>
      </c>
      <c r="F1251" s="8" t="s">
        <v>6814</v>
      </c>
      <c r="G1251" s="6" t="s">
        <v>51</v>
      </c>
      <c r="H1251" s="6" t="s">
        <v>38</v>
      </c>
      <c r="I1251" s="8" t="s">
        <v>1087</v>
      </c>
      <c r="J1251" s="9">
        <v>1</v>
      </c>
      <c r="K1251" s="9">
        <v>384</v>
      </c>
      <c r="L1251" s="9">
        <v>2020</v>
      </c>
      <c r="M1251" s="8" t="s">
        <v>6815</v>
      </c>
      <c r="N1251" s="8" t="s">
        <v>40</v>
      </c>
      <c r="O1251" s="8" t="s">
        <v>41</v>
      </c>
      <c r="P1251" s="6" t="s">
        <v>523</v>
      </c>
      <c r="Q1251" s="8" t="s">
        <v>76</v>
      </c>
      <c r="R1251" s="10" t="s">
        <v>122</v>
      </c>
      <c r="S1251" s="11"/>
      <c r="T1251" s="6"/>
      <c r="U1251" s="28" t="str">
        <f>HYPERLINK("https://media.infra-m.ru/1059/1059302/cover/1059302.jpg", "Обложка")</f>
        <v>Обложка</v>
      </c>
      <c r="V1251" s="28" t="str">
        <f>HYPERLINK("https://znanium.com/catalog/product/1894148", "Ознакомиться")</f>
        <v>Ознакомиться</v>
      </c>
      <c r="W1251" s="8" t="s">
        <v>783</v>
      </c>
      <c r="X1251" s="6"/>
      <c r="Y1251" s="6"/>
      <c r="Z1251" s="6"/>
      <c r="AA1251" s="6" t="s">
        <v>1223</v>
      </c>
    </row>
    <row r="1252" spans="1:27" s="4" customFormat="1" ht="51.95" customHeight="1">
      <c r="A1252" s="5">
        <v>0</v>
      </c>
      <c r="B1252" s="6" t="s">
        <v>6816</v>
      </c>
      <c r="C1252" s="13">
        <v>1890</v>
      </c>
      <c r="D1252" s="8" t="s">
        <v>6817</v>
      </c>
      <c r="E1252" s="8" t="s">
        <v>6813</v>
      </c>
      <c r="F1252" s="8" t="s">
        <v>6818</v>
      </c>
      <c r="G1252" s="6" t="s">
        <v>37</v>
      </c>
      <c r="H1252" s="6" t="s">
        <v>84</v>
      </c>
      <c r="I1252" s="8" t="s">
        <v>185</v>
      </c>
      <c r="J1252" s="9">
        <v>1</v>
      </c>
      <c r="K1252" s="9">
        <v>772</v>
      </c>
      <c r="L1252" s="9">
        <v>2020</v>
      </c>
      <c r="M1252" s="8" t="s">
        <v>6819</v>
      </c>
      <c r="N1252" s="8" t="s">
        <v>40</v>
      </c>
      <c r="O1252" s="8" t="s">
        <v>41</v>
      </c>
      <c r="P1252" s="6" t="s">
        <v>95</v>
      </c>
      <c r="Q1252" s="8" t="s">
        <v>76</v>
      </c>
      <c r="R1252" s="10" t="s">
        <v>235</v>
      </c>
      <c r="S1252" s="11"/>
      <c r="T1252" s="6"/>
      <c r="U1252" s="28" t="str">
        <f>HYPERLINK("https://media.infra-m.ru/1046/1046896/cover/1046896.jpg", "Обложка")</f>
        <v>Обложка</v>
      </c>
      <c r="V1252" s="28" t="str">
        <f>HYPERLINK("https://znanium.com/catalog/product/1894024", "Ознакомиться")</f>
        <v>Ознакомиться</v>
      </c>
      <c r="W1252" s="8" t="s">
        <v>61</v>
      </c>
      <c r="X1252" s="6"/>
      <c r="Y1252" s="6"/>
      <c r="Z1252" s="6"/>
      <c r="AA1252" s="6" t="s">
        <v>1187</v>
      </c>
    </row>
    <row r="1253" spans="1:27" s="4" customFormat="1" ht="51.95" customHeight="1">
      <c r="A1253" s="5">
        <v>0</v>
      </c>
      <c r="B1253" s="6" t="s">
        <v>6820</v>
      </c>
      <c r="C1253" s="13">
        <v>2254.9</v>
      </c>
      <c r="D1253" s="8" t="s">
        <v>6821</v>
      </c>
      <c r="E1253" s="8" t="s">
        <v>6813</v>
      </c>
      <c r="F1253" s="8" t="s">
        <v>6818</v>
      </c>
      <c r="G1253" s="6" t="s">
        <v>37</v>
      </c>
      <c r="H1253" s="6" t="s">
        <v>84</v>
      </c>
      <c r="I1253" s="8" t="s">
        <v>1140</v>
      </c>
      <c r="J1253" s="9">
        <v>1</v>
      </c>
      <c r="K1253" s="9">
        <v>772</v>
      </c>
      <c r="L1253" s="9">
        <v>2022</v>
      </c>
      <c r="M1253" s="8" t="s">
        <v>6822</v>
      </c>
      <c r="N1253" s="8" t="s">
        <v>40</v>
      </c>
      <c r="O1253" s="8" t="s">
        <v>41</v>
      </c>
      <c r="P1253" s="6" t="s">
        <v>95</v>
      </c>
      <c r="Q1253" s="8" t="s">
        <v>1199</v>
      </c>
      <c r="R1253" s="10" t="s">
        <v>235</v>
      </c>
      <c r="S1253" s="11" t="s">
        <v>6823</v>
      </c>
      <c r="T1253" s="6"/>
      <c r="U1253" s="28" t="str">
        <f>HYPERLINK("https://media.infra-m.ru/1898/1898373/cover/1898373.jpg", "Обложка")</f>
        <v>Обложка</v>
      </c>
      <c r="V1253" s="28" t="str">
        <f>HYPERLINK("https://znanium.com/catalog/product/1907517", "Ознакомиться")</f>
        <v>Ознакомиться</v>
      </c>
      <c r="W1253" s="8" t="s">
        <v>61</v>
      </c>
      <c r="X1253" s="6"/>
      <c r="Y1253" s="6"/>
      <c r="Z1253" s="6" t="s">
        <v>6824</v>
      </c>
      <c r="AA1253" s="6" t="s">
        <v>202</v>
      </c>
    </row>
    <row r="1254" spans="1:27" s="4" customFormat="1" ht="51.95" customHeight="1">
      <c r="A1254" s="5">
        <v>0</v>
      </c>
      <c r="B1254" s="6" t="s">
        <v>6825</v>
      </c>
      <c r="C1254" s="13">
        <v>1299.9000000000001</v>
      </c>
      <c r="D1254" s="8" t="s">
        <v>6826</v>
      </c>
      <c r="E1254" s="8" t="s">
        <v>6827</v>
      </c>
      <c r="F1254" s="8" t="s">
        <v>6814</v>
      </c>
      <c r="G1254" s="6" t="s">
        <v>58</v>
      </c>
      <c r="H1254" s="6" t="s">
        <v>84</v>
      </c>
      <c r="I1254" s="8" t="s">
        <v>185</v>
      </c>
      <c r="J1254" s="9">
        <v>6</v>
      </c>
      <c r="K1254" s="9">
        <v>712</v>
      </c>
      <c r="L1254" s="9">
        <v>2017</v>
      </c>
      <c r="M1254" s="8" t="s">
        <v>6828</v>
      </c>
      <c r="N1254" s="8" t="s">
        <v>40</v>
      </c>
      <c r="O1254" s="8" t="s">
        <v>41</v>
      </c>
      <c r="P1254" s="6" t="s">
        <v>95</v>
      </c>
      <c r="Q1254" s="8" t="s">
        <v>76</v>
      </c>
      <c r="R1254" s="10" t="s">
        <v>235</v>
      </c>
      <c r="S1254" s="11" t="s">
        <v>6829</v>
      </c>
      <c r="T1254" s="6"/>
      <c r="U1254" s="28" t="str">
        <f>HYPERLINK("https://media.infra-m.ru/0612/0612658/cover/612658.jpg", "Обложка")</f>
        <v>Обложка</v>
      </c>
      <c r="V1254" s="28" t="str">
        <f>HYPERLINK("https://znanium.com/catalog/product/1894024", "Ознакомиться")</f>
        <v>Ознакомиться</v>
      </c>
      <c r="W1254" s="8" t="s">
        <v>783</v>
      </c>
      <c r="X1254" s="6"/>
      <c r="Y1254" s="6"/>
      <c r="Z1254" s="6"/>
      <c r="AA1254" s="6" t="s">
        <v>196</v>
      </c>
    </row>
    <row r="1255" spans="1:27" s="4" customFormat="1" ht="51.95" customHeight="1">
      <c r="A1255" s="5">
        <v>0</v>
      </c>
      <c r="B1255" s="6" t="s">
        <v>6830</v>
      </c>
      <c r="C1255" s="13">
        <v>2290</v>
      </c>
      <c r="D1255" s="8" t="s">
        <v>6831</v>
      </c>
      <c r="E1255" s="8" t="s">
        <v>6808</v>
      </c>
      <c r="F1255" s="8" t="s">
        <v>6818</v>
      </c>
      <c r="G1255" s="6" t="s">
        <v>37</v>
      </c>
      <c r="H1255" s="6" t="s">
        <v>84</v>
      </c>
      <c r="I1255" s="8" t="s">
        <v>1140</v>
      </c>
      <c r="J1255" s="9">
        <v>1</v>
      </c>
      <c r="K1255" s="9">
        <v>795</v>
      </c>
      <c r="L1255" s="9">
        <v>2023</v>
      </c>
      <c r="M1255" s="8" t="s">
        <v>6832</v>
      </c>
      <c r="N1255" s="8" t="s">
        <v>40</v>
      </c>
      <c r="O1255" s="8" t="s">
        <v>41</v>
      </c>
      <c r="P1255" s="6" t="s">
        <v>95</v>
      </c>
      <c r="Q1255" s="8" t="s">
        <v>1199</v>
      </c>
      <c r="R1255" s="10" t="s">
        <v>235</v>
      </c>
      <c r="S1255" s="11" t="s">
        <v>6823</v>
      </c>
      <c r="T1255" s="6"/>
      <c r="U1255" s="28" t="str">
        <f>HYPERLINK("https://media.infra-m.ru/1907/1907517/cover/1907517.jpg", "Обложка")</f>
        <v>Обложка</v>
      </c>
      <c r="V1255" s="28" t="str">
        <f>HYPERLINK("https://znanium.com/catalog/product/1907517", "Ознакомиться")</f>
        <v>Ознакомиться</v>
      </c>
      <c r="W1255" s="8" t="s">
        <v>61</v>
      </c>
      <c r="X1255" s="6"/>
      <c r="Y1255" s="6"/>
      <c r="Z1255" s="6" t="s">
        <v>6824</v>
      </c>
      <c r="AA1255" s="6" t="s">
        <v>1193</v>
      </c>
    </row>
    <row r="1256" spans="1:27" s="4" customFormat="1" ht="51.95" customHeight="1">
      <c r="A1256" s="5">
        <v>0</v>
      </c>
      <c r="B1256" s="6" t="s">
        <v>6833</v>
      </c>
      <c r="C1256" s="13">
        <v>2390</v>
      </c>
      <c r="D1256" s="8" t="s">
        <v>6834</v>
      </c>
      <c r="E1256" s="8" t="s">
        <v>6808</v>
      </c>
      <c r="F1256" s="8" t="s">
        <v>6818</v>
      </c>
      <c r="G1256" s="6" t="s">
        <v>58</v>
      </c>
      <c r="H1256" s="6" t="s">
        <v>84</v>
      </c>
      <c r="I1256" s="8" t="s">
        <v>185</v>
      </c>
      <c r="J1256" s="9">
        <v>1</v>
      </c>
      <c r="K1256" s="9">
        <v>795</v>
      </c>
      <c r="L1256" s="9">
        <v>2023</v>
      </c>
      <c r="M1256" s="8" t="s">
        <v>6835</v>
      </c>
      <c r="N1256" s="8" t="s">
        <v>40</v>
      </c>
      <c r="O1256" s="8" t="s">
        <v>41</v>
      </c>
      <c r="P1256" s="6" t="s">
        <v>95</v>
      </c>
      <c r="Q1256" s="8" t="s">
        <v>76</v>
      </c>
      <c r="R1256" s="10" t="s">
        <v>235</v>
      </c>
      <c r="S1256" s="11"/>
      <c r="T1256" s="6"/>
      <c r="U1256" s="28" t="str">
        <f>HYPERLINK("https://media.infra-m.ru/1894/1894024/cover/1894024.jpg", "Обложка")</f>
        <v>Обложка</v>
      </c>
      <c r="V1256" s="28" t="str">
        <f>HYPERLINK("https://znanium.com/catalog/product/1894024", "Ознакомиться")</f>
        <v>Ознакомиться</v>
      </c>
      <c r="W1256" s="8" t="s">
        <v>61</v>
      </c>
      <c r="X1256" s="6"/>
      <c r="Y1256" s="6"/>
      <c r="Z1256" s="6"/>
      <c r="AA1256" s="6" t="s">
        <v>2351</v>
      </c>
    </row>
    <row r="1257" spans="1:27" s="4" customFormat="1" ht="51.95" customHeight="1">
      <c r="A1257" s="5">
        <v>0</v>
      </c>
      <c r="B1257" s="6" t="s">
        <v>6836</v>
      </c>
      <c r="C1257" s="7">
        <v>960</v>
      </c>
      <c r="D1257" s="8" t="s">
        <v>6837</v>
      </c>
      <c r="E1257" s="8" t="s">
        <v>6838</v>
      </c>
      <c r="F1257" s="8" t="s">
        <v>6839</v>
      </c>
      <c r="G1257" s="6" t="s">
        <v>37</v>
      </c>
      <c r="H1257" s="6" t="s">
        <v>38</v>
      </c>
      <c r="I1257" s="8"/>
      <c r="J1257" s="9">
        <v>1</v>
      </c>
      <c r="K1257" s="9">
        <v>208</v>
      </c>
      <c r="L1257" s="9">
        <v>2024</v>
      </c>
      <c r="M1257" s="8" t="s">
        <v>6840</v>
      </c>
      <c r="N1257" s="8" t="s">
        <v>40</v>
      </c>
      <c r="O1257" s="8" t="s">
        <v>41</v>
      </c>
      <c r="P1257" s="6" t="s">
        <v>75</v>
      </c>
      <c r="Q1257" s="8" t="s">
        <v>76</v>
      </c>
      <c r="R1257" s="10" t="s">
        <v>558</v>
      </c>
      <c r="S1257" s="11" t="s">
        <v>1764</v>
      </c>
      <c r="T1257" s="6"/>
      <c r="U1257" s="28" t="str">
        <f>HYPERLINK("https://media.infra-m.ru/2084/2084242/cover/2084242.jpg", "Обложка")</f>
        <v>Обложка</v>
      </c>
      <c r="V1257" s="28" t="str">
        <f>HYPERLINK("https://znanium.com/catalog/product/2084242", "Ознакомиться")</f>
        <v>Ознакомиться</v>
      </c>
      <c r="W1257" s="8" t="s">
        <v>195</v>
      </c>
      <c r="X1257" s="6"/>
      <c r="Y1257" s="6"/>
      <c r="Z1257" s="6"/>
      <c r="AA1257" s="6" t="s">
        <v>622</v>
      </c>
    </row>
    <row r="1258" spans="1:27" s="4" customFormat="1" ht="51.95" customHeight="1">
      <c r="A1258" s="5">
        <v>0</v>
      </c>
      <c r="B1258" s="6" t="s">
        <v>6841</v>
      </c>
      <c r="C1258" s="13">
        <v>1190</v>
      </c>
      <c r="D1258" s="8" t="s">
        <v>6842</v>
      </c>
      <c r="E1258" s="8" t="s">
        <v>6843</v>
      </c>
      <c r="F1258" s="8" t="s">
        <v>2125</v>
      </c>
      <c r="G1258" s="6" t="s">
        <v>51</v>
      </c>
      <c r="H1258" s="6" t="s">
        <v>400</v>
      </c>
      <c r="I1258" s="8" t="s">
        <v>1087</v>
      </c>
      <c r="J1258" s="9">
        <v>1</v>
      </c>
      <c r="K1258" s="9">
        <v>272</v>
      </c>
      <c r="L1258" s="9">
        <v>2024</v>
      </c>
      <c r="M1258" s="8" t="s">
        <v>6844</v>
      </c>
      <c r="N1258" s="8" t="s">
        <v>40</v>
      </c>
      <c r="O1258" s="8" t="s">
        <v>41</v>
      </c>
      <c r="P1258" s="6" t="s">
        <v>523</v>
      </c>
      <c r="Q1258" s="8" t="s">
        <v>76</v>
      </c>
      <c r="R1258" s="10" t="s">
        <v>1763</v>
      </c>
      <c r="S1258" s="11"/>
      <c r="T1258" s="6"/>
      <c r="U1258" s="28" t="str">
        <f>HYPERLINK("https://media.infra-m.ru/2114/2114310/cover/2114310.jpg", "Обложка")</f>
        <v>Обложка</v>
      </c>
      <c r="V1258" s="28" t="str">
        <f>HYPERLINK("https://znanium.com/catalog/product/2114310", "Ознакомиться")</f>
        <v>Ознакомиться</v>
      </c>
      <c r="W1258" s="8" t="s">
        <v>78</v>
      </c>
      <c r="X1258" s="6"/>
      <c r="Y1258" s="6"/>
      <c r="Z1258" s="6"/>
      <c r="AA1258" s="6" t="s">
        <v>6845</v>
      </c>
    </row>
    <row r="1259" spans="1:27" s="4" customFormat="1" ht="51.95" customHeight="1">
      <c r="A1259" s="5">
        <v>0</v>
      </c>
      <c r="B1259" s="6" t="s">
        <v>6846</v>
      </c>
      <c r="C1259" s="13">
        <v>1660</v>
      </c>
      <c r="D1259" s="8" t="s">
        <v>6847</v>
      </c>
      <c r="E1259" s="8" t="s">
        <v>6848</v>
      </c>
      <c r="F1259" s="8" t="s">
        <v>6849</v>
      </c>
      <c r="G1259" s="6" t="s">
        <v>37</v>
      </c>
      <c r="H1259" s="6" t="s">
        <v>38</v>
      </c>
      <c r="I1259" s="8"/>
      <c r="J1259" s="9">
        <v>1</v>
      </c>
      <c r="K1259" s="9">
        <v>368</v>
      </c>
      <c r="L1259" s="9">
        <v>2023</v>
      </c>
      <c r="M1259" s="8" t="s">
        <v>6850</v>
      </c>
      <c r="N1259" s="8" t="s">
        <v>40</v>
      </c>
      <c r="O1259" s="8" t="s">
        <v>41</v>
      </c>
      <c r="P1259" s="6" t="s">
        <v>95</v>
      </c>
      <c r="Q1259" s="8" t="s">
        <v>76</v>
      </c>
      <c r="R1259" s="10" t="s">
        <v>235</v>
      </c>
      <c r="S1259" s="11" t="s">
        <v>6851</v>
      </c>
      <c r="T1259" s="6"/>
      <c r="U1259" s="28" t="str">
        <f>HYPERLINK("https://media.infra-m.ru/1898/1898872/cover/1898872.jpg", "Обложка")</f>
        <v>Обложка</v>
      </c>
      <c r="V1259" s="28" t="str">
        <f>HYPERLINK("https://znanium.com/catalog/product/1898872", "Ознакомиться")</f>
        <v>Ознакомиться</v>
      </c>
      <c r="W1259" s="8" t="s">
        <v>114</v>
      </c>
      <c r="X1259" s="6"/>
      <c r="Y1259" s="6"/>
      <c r="Z1259" s="6"/>
      <c r="AA1259" s="6" t="s">
        <v>215</v>
      </c>
    </row>
    <row r="1260" spans="1:27" s="4" customFormat="1" ht="51.95" customHeight="1">
      <c r="A1260" s="5">
        <v>0</v>
      </c>
      <c r="B1260" s="6" t="s">
        <v>6852</v>
      </c>
      <c r="C1260" s="13">
        <v>1284.9000000000001</v>
      </c>
      <c r="D1260" s="8" t="s">
        <v>6853</v>
      </c>
      <c r="E1260" s="8" t="s">
        <v>6854</v>
      </c>
      <c r="F1260" s="8" t="s">
        <v>6855</v>
      </c>
      <c r="G1260" s="6" t="s">
        <v>58</v>
      </c>
      <c r="H1260" s="6" t="s">
        <v>84</v>
      </c>
      <c r="I1260" s="8" t="s">
        <v>185</v>
      </c>
      <c r="J1260" s="9">
        <v>1</v>
      </c>
      <c r="K1260" s="9">
        <v>312</v>
      </c>
      <c r="L1260" s="9">
        <v>2022</v>
      </c>
      <c r="M1260" s="8" t="s">
        <v>6856</v>
      </c>
      <c r="N1260" s="8" t="s">
        <v>40</v>
      </c>
      <c r="O1260" s="8" t="s">
        <v>41</v>
      </c>
      <c r="P1260" s="6" t="s">
        <v>95</v>
      </c>
      <c r="Q1260" s="8" t="s">
        <v>76</v>
      </c>
      <c r="R1260" s="10" t="s">
        <v>6857</v>
      </c>
      <c r="S1260" s="11" t="s">
        <v>628</v>
      </c>
      <c r="T1260" s="6"/>
      <c r="U1260" s="28" t="str">
        <f>HYPERLINK("https://media.infra-m.ru/1863/1863812/cover/1863812.jpg", "Обложка")</f>
        <v>Обложка</v>
      </c>
      <c r="V1260" s="28" t="str">
        <f>HYPERLINK("https://znanium.com/catalog/product/1047130", "Ознакомиться")</f>
        <v>Ознакомиться</v>
      </c>
      <c r="W1260" s="8" t="s">
        <v>535</v>
      </c>
      <c r="X1260" s="6"/>
      <c r="Y1260" s="6"/>
      <c r="Z1260" s="6"/>
      <c r="AA1260" s="6" t="s">
        <v>148</v>
      </c>
    </row>
    <row r="1261" spans="1:27" s="4" customFormat="1" ht="42" customHeight="1">
      <c r="A1261" s="5">
        <v>0</v>
      </c>
      <c r="B1261" s="6" t="s">
        <v>6858</v>
      </c>
      <c r="C1261" s="7">
        <v>811.9</v>
      </c>
      <c r="D1261" s="8" t="s">
        <v>6859</v>
      </c>
      <c r="E1261" s="8" t="s">
        <v>6860</v>
      </c>
      <c r="F1261" s="8" t="s">
        <v>6861</v>
      </c>
      <c r="G1261" s="6" t="s">
        <v>58</v>
      </c>
      <c r="H1261" s="6" t="s">
        <v>38</v>
      </c>
      <c r="I1261" s="8"/>
      <c r="J1261" s="9">
        <v>1</v>
      </c>
      <c r="K1261" s="9">
        <v>230</v>
      </c>
      <c r="L1261" s="9">
        <v>2020</v>
      </c>
      <c r="M1261" s="8" t="s">
        <v>6862</v>
      </c>
      <c r="N1261" s="8" t="s">
        <v>40</v>
      </c>
      <c r="O1261" s="8" t="s">
        <v>41</v>
      </c>
      <c r="P1261" s="6" t="s">
        <v>42</v>
      </c>
      <c r="Q1261" s="8" t="s">
        <v>43</v>
      </c>
      <c r="R1261" s="10" t="s">
        <v>6863</v>
      </c>
      <c r="S1261" s="11"/>
      <c r="T1261" s="6"/>
      <c r="U1261" s="28" t="str">
        <f>HYPERLINK("https://media.infra-m.ru/1088/1088382/cover/1088382.jpg", "Обложка")</f>
        <v>Обложка</v>
      </c>
      <c r="V1261" s="28" t="str">
        <f>HYPERLINK("https://znanium.com/catalog/product/1220177", "Ознакомиться")</f>
        <v>Ознакомиться</v>
      </c>
      <c r="W1261" s="8" t="s">
        <v>6566</v>
      </c>
      <c r="X1261" s="6"/>
      <c r="Y1261" s="6"/>
      <c r="Z1261" s="6"/>
      <c r="AA1261" s="6" t="s">
        <v>115</v>
      </c>
    </row>
    <row r="1262" spans="1:27" s="4" customFormat="1" ht="51.95" customHeight="1">
      <c r="A1262" s="5">
        <v>0</v>
      </c>
      <c r="B1262" s="6" t="s">
        <v>6864</v>
      </c>
      <c r="C1262" s="13">
        <v>1484.9</v>
      </c>
      <c r="D1262" s="8" t="s">
        <v>6865</v>
      </c>
      <c r="E1262" s="8" t="s">
        <v>6866</v>
      </c>
      <c r="F1262" s="8" t="s">
        <v>6867</v>
      </c>
      <c r="G1262" s="6" t="s">
        <v>58</v>
      </c>
      <c r="H1262" s="6" t="s">
        <v>38</v>
      </c>
      <c r="I1262" s="8"/>
      <c r="J1262" s="9">
        <v>1</v>
      </c>
      <c r="K1262" s="9">
        <v>360</v>
      </c>
      <c r="L1262" s="9">
        <v>2021</v>
      </c>
      <c r="M1262" s="8" t="s">
        <v>6868</v>
      </c>
      <c r="N1262" s="8" t="s">
        <v>40</v>
      </c>
      <c r="O1262" s="8" t="s">
        <v>41</v>
      </c>
      <c r="P1262" s="6" t="s">
        <v>42</v>
      </c>
      <c r="Q1262" s="8"/>
      <c r="R1262" s="10" t="s">
        <v>6869</v>
      </c>
      <c r="S1262" s="11"/>
      <c r="T1262" s="6"/>
      <c r="U1262" s="28" t="str">
        <f>HYPERLINK("https://media.infra-m.ru/1720/1720087/cover/1720087.jpg", "Обложка")</f>
        <v>Обложка</v>
      </c>
      <c r="V1262" s="28" t="str">
        <f>HYPERLINK("https://znanium.com/catalog/product/1234622", "Ознакомиться")</f>
        <v>Ознакомиться</v>
      </c>
      <c r="W1262" s="8" t="s">
        <v>6566</v>
      </c>
      <c r="X1262" s="6"/>
      <c r="Y1262" s="6"/>
      <c r="Z1262" s="6"/>
      <c r="AA1262" s="6" t="s">
        <v>62</v>
      </c>
    </row>
    <row r="1263" spans="1:27" s="4" customFormat="1" ht="51.95" customHeight="1">
      <c r="A1263" s="5">
        <v>0</v>
      </c>
      <c r="B1263" s="6" t="s">
        <v>6870</v>
      </c>
      <c r="C1263" s="13">
        <v>1840</v>
      </c>
      <c r="D1263" s="8" t="s">
        <v>6871</v>
      </c>
      <c r="E1263" s="8" t="s">
        <v>6872</v>
      </c>
      <c r="F1263" s="8" t="s">
        <v>6873</v>
      </c>
      <c r="G1263" s="6" t="s">
        <v>58</v>
      </c>
      <c r="H1263" s="6" t="s">
        <v>38</v>
      </c>
      <c r="I1263" s="8"/>
      <c r="J1263" s="9">
        <v>1</v>
      </c>
      <c r="K1263" s="9">
        <v>400</v>
      </c>
      <c r="L1263" s="9">
        <v>2024</v>
      </c>
      <c r="M1263" s="8" t="s">
        <v>6874</v>
      </c>
      <c r="N1263" s="8" t="s">
        <v>40</v>
      </c>
      <c r="O1263" s="8" t="s">
        <v>41</v>
      </c>
      <c r="P1263" s="6" t="s">
        <v>95</v>
      </c>
      <c r="Q1263" s="8" t="s">
        <v>76</v>
      </c>
      <c r="R1263" s="10" t="s">
        <v>6875</v>
      </c>
      <c r="S1263" s="11"/>
      <c r="T1263" s="6"/>
      <c r="U1263" s="28" t="str">
        <f>HYPERLINK("https://media.infra-m.ru/2104/2104316/cover/2104316.jpg", "Обложка")</f>
        <v>Обложка</v>
      </c>
      <c r="V1263" s="28" t="str">
        <f>HYPERLINK("https://znanium.com/catalog/product/1012773", "Ознакомиться")</f>
        <v>Ознакомиться</v>
      </c>
      <c r="W1263" s="8" t="s">
        <v>114</v>
      </c>
      <c r="X1263" s="6" t="s">
        <v>381</v>
      </c>
      <c r="Y1263" s="6"/>
      <c r="Z1263" s="6"/>
      <c r="AA1263" s="6" t="s">
        <v>382</v>
      </c>
    </row>
    <row r="1264" spans="1:27" s="4" customFormat="1" ht="51.95" customHeight="1">
      <c r="A1264" s="5">
        <v>0</v>
      </c>
      <c r="B1264" s="6" t="s">
        <v>6876</v>
      </c>
      <c r="C1264" s="13">
        <v>1230</v>
      </c>
      <c r="D1264" s="8" t="s">
        <v>6877</v>
      </c>
      <c r="E1264" s="8" t="s">
        <v>6878</v>
      </c>
      <c r="F1264" s="8" t="s">
        <v>6873</v>
      </c>
      <c r="G1264" s="6" t="s">
        <v>37</v>
      </c>
      <c r="H1264" s="6" t="s">
        <v>38</v>
      </c>
      <c r="I1264" s="8"/>
      <c r="J1264" s="9">
        <v>1</v>
      </c>
      <c r="K1264" s="9">
        <v>272</v>
      </c>
      <c r="L1264" s="9">
        <v>2019</v>
      </c>
      <c r="M1264" s="8" t="s">
        <v>6879</v>
      </c>
      <c r="N1264" s="8" t="s">
        <v>40</v>
      </c>
      <c r="O1264" s="8" t="s">
        <v>41</v>
      </c>
      <c r="P1264" s="6" t="s">
        <v>95</v>
      </c>
      <c r="Q1264" s="8" t="s">
        <v>76</v>
      </c>
      <c r="R1264" s="10" t="s">
        <v>6875</v>
      </c>
      <c r="S1264" s="11"/>
      <c r="T1264" s="6"/>
      <c r="U1264" s="28" t="str">
        <f>HYPERLINK("https://media.infra-m.ru/1012/1012773/cover/1012773.jpg", "Обложка")</f>
        <v>Обложка</v>
      </c>
      <c r="V1264" s="28" t="str">
        <f>HYPERLINK("https://znanium.com/catalog/product/1012773", "Ознакомиться")</f>
        <v>Ознакомиться</v>
      </c>
      <c r="W1264" s="8" t="s">
        <v>114</v>
      </c>
      <c r="X1264" s="6"/>
      <c r="Y1264" s="6"/>
      <c r="Z1264" s="6"/>
      <c r="AA1264" s="6" t="s">
        <v>148</v>
      </c>
    </row>
    <row r="1265" spans="1:27" s="4" customFormat="1" ht="42" customHeight="1">
      <c r="A1265" s="5">
        <v>0</v>
      </c>
      <c r="B1265" s="6" t="s">
        <v>6880</v>
      </c>
      <c r="C1265" s="7">
        <v>934.9</v>
      </c>
      <c r="D1265" s="8" t="s">
        <v>6881</v>
      </c>
      <c r="E1265" s="8" t="s">
        <v>6882</v>
      </c>
      <c r="F1265" s="8" t="s">
        <v>716</v>
      </c>
      <c r="G1265" s="6" t="s">
        <v>58</v>
      </c>
      <c r="H1265" s="6" t="s">
        <v>38</v>
      </c>
      <c r="I1265" s="8"/>
      <c r="J1265" s="9">
        <v>1</v>
      </c>
      <c r="K1265" s="9">
        <v>208</v>
      </c>
      <c r="L1265" s="9">
        <v>2023</v>
      </c>
      <c r="M1265" s="8" t="s">
        <v>6883</v>
      </c>
      <c r="N1265" s="8" t="s">
        <v>40</v>
      </c>
      <c r="O1265" s="8" t="s">
        <v>41</v>
      </c>
      <c r="P1265" s="6" t="s">
        <v>42</v>
      </c>
      <c r="Q1265" s="8" t="s">
        <v>43</v>
      </c>
      <c r="R1265" s="10" t="s">
        <v>776</v>
      </c>
      <c r="S1265" s="11"/>
      <c r="T1265" s="6"/>
      <c r="U1265" s="28" t="str">
        <f>HYPERLINK("https://media.infra-m.ru/2006/2006058/cover/2006058.jpg", "Обложка")</f>
        <v>Обложка</v>
      </c>
      <c r="V1265" s="28" t="str">
        <f>HYPERLINK("https://znanium.com/catalog/product/1092009", "Ознакомиться")</f>
        <v>Ознакомиться</v>
      </c>
      <c r="W1265" s="8" t="s">
        <v>78</v>
      </c>
      <c r="X1265" s="6"/>
      <c r="Y1265" s="6"/>
      <c r="Z1265" s="6"/>
      <c r="AA1265" s="6" t="s">
        <v>148</v>
      </c>
    </row>
    <row r="1266" spans="1:27" s="4" customFormat="1" ht="51.95" customHeight="1">
      <c r="A1266" s="5">
        <v>0</v>
      </c>
      <c r="B1266" s="6" t="s">
        <v>6884</v>
      </c>
      <c r="C1266" s="13">
        <v>1770</v>
      </c>
      <c r="D1266" s="8" t="s">
        <v>6885</v>
      </c>
      <c r="E1266" s="8" t="s">
        <v>6886</v>
      </c>
      <c r="F1266" s="8" t="s">
        <v>6887</v>
      </c>
      <c r="G1266" s="6" t="s">
        <v>37</v>
      </c>
      <c r="H1266" s="6" t="s">
        <v>84</v>
      </c>
      <c r="I1266" s="8" t="s">
        <v>251</v>
      </c>
      <c r="J1266" s="9">
        <v>1</v>
      </c>
      <c r="K1266" s="9">
        <v>465</v>
      </c>
      <c r="L1266" s="9">
        <v>2022</v>
      </c>
      <c r="M1266" s="8" t="s">
        <v>6888</v>
      </c>
      <c r="N1266" s="8" t="s">
        <v>40</v>
      </c>
      <c r="O1266" s="8" t="s">
        <v>41</v>
      </c>
      <c r="P1266" s="6" t="s">
        <v>42</v>
      </c>
      <c r="Q1266" s="8" t="s">
        <v>43</v>
      </c>
      <c r="R1266" s="10" t="s">
        <v>6889</v>
      </c>
      <c r="S1266" s="11"/>
      <c r="T1266" s="6"/>
      <c r="U1266" s="28" t="str">
        <f>HYPERLINK("https://media.infra-m.ru/1689/1689649/cover/1689649.jpg", "Обложка")</f>
        <v>Обложка</v>
      </c>
      <c r="V1266" s="28" t="str">
        <f>HYPERLINK("https://znanium.com/catalog/product/1689649", "Ознакомиться")</f>
        <v>Ознакомиться</v>
      </c>
      <c r="W1266" s="8" t="s">
        <v>237</v>
      </c>
      <c r="X1266" s="6"/>
      <c r="Y1266" s="6"/>
      <c r="Z1266" s="6"/>
      <c r="AA1266" s="6" t="s">
        <v>79</v>
      </c>
    </row>
    <row r="1267" spans="1:27" s="4" customFormat="1" ht="44.1" customHeight="1">
      <c r="A1267" s="5">
        <v>0</v>
      </c>
      <c r="B1267" s="6" t="s">
        <v>6890</v>
      </c>
      <c r="C1267" s="7">
        <v>894.9</v>
      </c>
      <c r="D1267" s="8" t="s">
        <v>6891</v>
      </c>
      <c r="E1267" s="8" t="s">
        <v>6892</v>
      </c>
      <c r="F1267" s="8" t="s">
        <v>6893</v>
      </c>
      <c r="G1267" s="6" t="s">
        <v>51</v>
      </c>
      <c r="H1267" s="6" t="s">
        <v>84</v>
      </c>
      <c r="I1267" s="8" t="s">
        <v>251</v>
      </c>
      <c r="J1267" s="9">
        <v>1</v>
      </c>
      <c r="K1267" s="9">
        <v>199</v>
      </c>
      <c r="L1267" s="9">
        <v>2023</v>
      </c>
      <c r="M1267" s="8" t="s">
        <v>6894</v>
      </c>
      <c r="N1267" s="8" t="s">
        <v>40</v>
      </c>
      <c r="O1267" s="8" t="s">
        <v>41</v>
      </c>
      <c r="P1267" s="6" t="s">
        <v>42</v>
      </c>
      <c r="Q1267" s="8" t="s">
        <v>43</v>
      </c>
      <c r="R1267" s="10" t="s">
        <v>3522</v>
      </c>
      <c r="S1267" s="11"/>
      <c r="T1267" s="6"/>
      <c r="U1267" s="28" t="str">
        <f>HYPERLINK("https://media.infra-m.ru/1902/1902917/cover/1902917.jpg", "Обложка")</f>
        <v>Обложка</v>
      </c>
      <c r="V1267" s="12"/>
      <c r="W1267" s="8" t="s">
        <v>1957</v>
      </c>
      <c r="X1267" s="6"/>
      <c r="Y1267" s="6"/>
      <c r="Z1267" s="6"/>
      <c r="AA1267" s="6" t="s">
        <v>415</v>
      </c>
    </row>
    <row r="1268" spans="1:27" s="4" customFormat="1" ht="51.95" customHeight="1">
      <c r="A1268" s="5">
        <v>0</v>
      </c>
      <c r="B1268" s="6" t="s">
        <v>6895</v>
      </c>
      <c r="C1268" s="7">
        <v>850</v>
      </c>
      <c r="D1268" s="8" t="s">
        <v>6896</v>
      </c>
      <c r="E1268" s="8" t="s">
        <v>6897</v>
      </c>
      <c r="F1268" s="8" t="s">
        <v>6887</v>
      </c>
      <c r="G1268" s="6" t="s">
        <v>37</v>
      </c>
      <c r="H1268" s="6" t="s">
        <v>84</v>
      </c>
      <c r="I1268" s="8" t="s">
        <v>251</v>
      </c>
      <c r="J1268" s="9">
        <v>1</v>
      </c>
      <c r="K1268" s="9">
        <v>217</v>
      </c>
      <c r="L1268" s="9">
        <v>2022</v>
      </c>
      <c r="M1268" s="8" t="s">
        <v>6898</v>
      </c>
      <c r="N1268" s="8" t="s">
        <v>40</v>
      </c>
      <c r="O1268" s="8" t="s">
        <v>41</v>
      </c>
      <c r="P1268" s="6" t="s">
        <v>42</v>
      </c>
      <c r="Q1268" s="8" t="s">
        <v>43</v>
      </c>
      <c r="R1268" s="10" t="s">
        <v>452</v>
      </c>
      <c r="S1268" s="11"/>
      <c r="T1268" s="6"/>
      <c r="U1268" s="28" t="str">
        <f>HYPERLINK("https://media.infra-m.ru/1831/1831186/cover/1831186.jpg", "Обложка")</f>
        <v>Обложка</v>
      </c>
      <c r="V1268" s="28" t="str">
        <f>HYPERLINK("https://znanium.com/catalog/product/1831186", "Ознакомиться")</f>
        <v>Ознакомиться</v>
      </c>
      <c r="W1268" s="8" t="s">
        <v>237</v>
      </c>
      <c r="X1268" s="6"/>
      <c r="Y1268" s="6"/>
      <c r="Z1268" s="6"/>
      <c r="AA1268" s="6" t="s">
        <v>79</v>
      </c>
    </row>
    <row r="1269" spans="1:27" s="4" customFormat="1" ht="51.95" customHeight="1">
      <c r="A1269" s="5">
        <v>0</v>
      </c>
      <c r="B1269" s="6" t="s">
        <v>6899</v>
      </c>
      <c r="C1269" s="13">
        <v>1804.9</v>
      </c>
      <c r="D1269" s="8" t="s">
        <v>6900</v>
      </c>
      <c r="E1269" s="8" t="s">
        <v>6901</v>
      </c>
      <c r="F1269" s="8" t="s">
        <v>6902</v>
      </c>
      <c r="G1269" s="6" t="s">
        <v>58</v>
      </c>
      <c r="H1269" s="6" t="s">
        <v>272</v>
      </c>
      <c r="I1269" s="8"/>
      <c r="J1269" s="9">
        <v>1</v>
      </c>
      <c r="K1269" s="9">
        <v>400</v>
      </c>
      <c r="L1269" s="9">
        <v>2023</v>
      </c>
      <c r="M1269" s="8" t="s">
        <v>6903</v>
      </c>
      <c r="N1269" s="8" t="s">
        <v>40</v>
      </c>
      <c r="O1269" s="8" t="s">
        <v>41</v>
      </c>
      <c r="P1269" s="6" t="s">
        <v>1551</v>
      </c>
      <c r="Q1269" s="8" t="s">
        <v>43</v>
      </c>
      <c r="R1269" s="10" t="s">
        <v>6904</v>
      </c>
      <c r="S1269" s="11"/>
      <c r="T1269" s="6"/>
      <c r="U1269" s="28" t="str">
        <f>HYPERLINK("https://media.infra-m.ru/1922/1922265/cover/1922265.jpg", "Обложка")</f>
        <v>Обложка</v>
      </c>
      <c r="V1269" s="12"/>
      <c r="W1269" s="8" t="s">
        <v>3088</v>
      </c>
      <c r="X1269" s="6"/>
      <c r="Y1269" s="6"/>
      <c r="Z1269" s="6"/>
      <c r="AA1269" s="6" t="s">
        <v>415</v>
      </c>
    </row>
    <row r="1270" spans="1:27" s="4" customFormat="1" ht="51.95" customHeight="1">
      <c r="A1270" s="5">
        <v>0</v>
      </c>
      <c r="B1270" s="6" t="s">
        <v>6905</v>
      </c>
      <c r="C1270" s="13">
        <v>1800</v>
      </c>
      <c r="D1270" s="8" t="s">
        <v>6906</v>
      </c>
      <c r="E1270" s="8" t="s">
        <v>6907</v>
      </c>
      <c r="F1270" s="8" t="s">
        <v>6421</v>
      </c>
      <c r="G1270" s="6" t="s">
        <v>37</v>
      </c>
      <c r="H1270" s="6" t="s">
        <v>38</v>
      </c>
      <c r="I1270" s="8"/>
      <c r="J1270" s="9">
        <v>1</v>
      </c>
      <c r="K1270" s="9">
        <v>400</v>
      </c>
      <c r="L1270" s="9">
        <v>2022</v>
      </c>
      <c r="M1270" s="8" t="s">
        <v>6908</v>
      </c>
      <c r="N1270" s="8" t="s">
        <v>40</v>
      </c>
      <c r="O1270" s="8" t="s">
        <v>41</v>
      </c>
      <c r="P1270" s="6" t="s">
        <v>75</v>
      </c>
      <c r="Q1270" s="8" t="s">
        <v>1199</v>
      </c>
      <c r="R1270" s="10" t="s">
        <v>6909</v>
      </c>
      <c r="S1270" s="11"/>
      <c r="T1270" s="6"/>
      <c r="U1270" s="28" t="str">
        <f>HYPERLINK("https://media.infra-m.ru/1914/1914659/cover/1914659.jpg", "Обложка")</f>
        <v>Обложка</v>
      </c>
      <c r="V1270" s="28" t="str">
        <f>HYPERLINK("https://znanium.com/catalog/product/1895086", "Ознакомиться")</f>
        <v>Ознакомиться</v>
      </c>
      <c r="W1270" s="8" t="s">
        <v>114</v>
      </c>
      <c r="X1270" s="6"/>
      <c r="Y1270" s="6"/>
      <c r="Z1270" s="6"/>
      <c r="AA1270" s="6" t="s">
        <v>46</v>
      </c>
    </row>
    <row r="1271" spans="1:27" s="4" customFormat="1" ht="51.95" customHeight="1">
      <c r="A1271" s="5">
        <v>0</v>
      </c>
      <c r="B1271" s="6" t="s">
        <v>6910</v>
      </c>
      <c r="C1271" s="7">
        <v>680</v>
      </c>
      <c r="D1271" s="8" t="s">
        <v>6911</v>
      </c>
      <c r="E1271" s="8" t="s">
        <v>6912</v>
      </c>
      <c r="F1271" s="8" t="s">
        <v>6913</v>
      </c>
      <c r="G1271" s="6" t="s">
        <v>37</v>
      </c>
      <c r="H1271" s="6" t="s">
        <v>84</v>
      </c>
      <c r="I1271" s="8" t="s">
        <v>185</v>
      </c>
      <c r="J1271" s="9">
        <v>1</v>
      </c>
      <c r="K1271" s="9">
        <v>170</v>
      </c>
      <c r="L1271" s="9">
        <v>2022</v>
      </c>
      <c r="M1271" s="8" t="s">
        <v>6914</v>
      </c>
      <c r="N1271" s="8" t="s">
        <v>40</v>
      </c>
      <c r="O1271" s="8" t="s">
        <v>41</v>
      </c>
      <c r="P1271" s="6" t="s">
        <v>75</v>
      </c>
      <c r="Q1271" s="8" t="s">
        <v>76</v>
      </c>
      <c r="R1271" s="10" t="s">
        <v>6915</v>
      </c>
      <c r="S1271" s="11" t="s">
        <v>6916</v>
      </c>
      <c r="T1271" s="6" t="s">
        <v>368</v>
      </c>
      <c r="U1271" s="28" t="str">
        <f>HYPERLINK("https://media.infra-m.ru/1863/1863279/cover/1863279.jpg", "Обложка")</f>
        <v>Обложка</v>
      </c>
      <c r="V1271" s="28" t="str">
        <f>HYPERLINK("https://znanium.com/catalog/product/1863279", "Ознакомиться")</f>
        <v>Ознакомиться</v>
      </c>
      <c r="W1271" s="8" t="s">
        <v>6917</v>
      </c>
      <c r="X1271" s="6"/>
      <c r="Y1271" s="6"/>
      <c r="Z1271" s="6"/>
      <c r="AA1271" s="6" t="s">
        <v>46</v>
      </c>
    </row>
    <row r="1272" spans="1:27" s="4" customFormat="1" ht="42" customHeight="1">
      <c r="A1272" s="5">
        <v>0</v>
      </c>
      <c r="B1272" s="6" t="s">
        <v>6918</v>
      </c>
      <c r="C1272" s="7">
        <v>960</v>
      </c>
      <c r="D1272" s="8" t="s">
        <v>6919</v>
      </c>
      <c r="E1272" s="8" t="s">
        <v>6920</v>
      </c>
      <c r="F1272" s="8" t="s">
        <v>6921</v>
      </c>
      <c r="G1272" s="6" t="s">
        <v>51</v>
      </c>
      <c r="H1272" s="6" t="s">
        <v>84</v>
      </c>
      <c r="I1272" s="8" t="s">
        <v>85</v>
      </c>
      <c r="J1272" s="9">
        <v>1</v>
      </c>
      <c r="K1272" s="9">
        <v>245</v>
      </c>
      <c r="L1272" s="9">
        <v>2022</v>
      </c>
      <c r="M1272" s="8" t="s">
        <v>6922</v>
      </c>
      <c r="N1272" s="8" t="s">
        <v>40</v>
      </c>
      <c r="O1272" s="8" t="s">
        <v>41</v>
      </c>
      <c r="P1272" s="6" t="s">
        <v>42</v>
      </c>
      <c r="Q1272" s="8" t="s">
        <v>43</v>
      </c>
      <c r="R1272" s="10" t="s">
        <v>304</v>
      </c>
      <c r="S1272" s="11"/>
      <c r="T1272" s="6"/>
      <c r="U1272" s="28" t="str">
        <f>HYPERLINK("https://media.infra-m.ru/1851/1851138/cover/1851138.jpg", "Обложка")</f>
        <v>Обложка</v>
      </c>
      <c r="V1272" s="28" t="str">
        <f>HYPERLINK("https://znanium.com/catalog/product/1851138", "Ознакомиться")</f>
        <v>Ознакомиться</v>
      </c>
      <c r="W1272" s="8" t="s">
        <v>45</v>
      </c>
      <c r="X1272" s="6"/>
      <c r="Y1272" s="6"/>
      <c r="Z1272" s="6"/>
      <c r="AA1272" s="6" t="s">
        <v>422</v>
      </c>
    </row>
    <row r="1273" spans="1:27" s="4" customFormat="1" ht="42" customHeight="1">
      <c r="A1273" s="5">
        <v>0</v>
      </c>
      <c r="B1273" s="6" t="s">
        <v>6923</v>
      </c>
      <c r="C1273" s="7">
        <v>610</v>
      </c>
      <c r="D1273" s="8" t="s">
        <v>6924</v>
      </c>
      <c r="E1273" s="8" t="s">
        <v>6925</v>
      </c>
      <c r="F1273" s="8" t="s">
        <v>6926</v>
      </c>
      <c r="G1273" s="6" t="s">
        <v>51</v>
      </c>
      <c r="H1273" s="6" t="s">
        <v>84</v>
      </c>
      <c r="I1273" s="8" t="s">
        <v>251</v>
      </c>
      <c r="J1273" s="9">
        <v>1</v>
      </c>
      <c r="K1273" s="9">
        <v>136</v>
      </c>
      <c r="L1273" s="9">
        <v>2022</v>
      </c>
      <c r="M1273" s="8" t="s">
        <v>6927</v>
      </c>
      <c r="N1273" s="8" t="s">
        <v>40</v>
      </c>
      <c r="O1273" s="8" t="s">
        <v>41</v>
      </c>
      <c r="P1273" s="6" t="s">
        <v>42</v>
      </c>
      <c r="Q1273" s="8" t="s">
        <v>43</v>
      </c>
      <c r="R1273" s="10" t="s">
        <v>310</v>
      </c>
      <c r="S1273" s="11"/>
      <c r="T1273" s="6"/>
      <c r="U1273" s="28" t="str">
        <f>HYPERLINK("https://media.infra-m.ru/1891/1891262/cover/1891262.jpg", "Обложка")</f>
        <v>Обложка</v>
      </c>
      <c r="V1273" s="28" t="str">
        <f>HYPERLINK("https://znanium.com/catalog/product/1891262", "Ознакомиться")</f>
        <v>Ознакомиться</v>
      </c>
      <c r="W1273" s="8" t="s">
        <v>3352</v>
      </c>
      <c r="X1273" s="6"/>
      <c r="Y1273" s="6"/>
      <c r="Z1273" s="6"/>
      <c r="AA1273" s="6" t="s">
        <v>289</v>
      </c>
    </row>
    <row r="1274" spans="1:27" s="4" customFormat="1" ht="42" customHeight="1">
      <c r="A1274" s="5">
        <v>0</v>
      </c>
      <c r="B1274" s="6" t="s">
        <v>6928</v>
      </c>
      <c r="C1274" s="13">
        <v>1344</v>
      </c>
      <c r="D1274" s="8" t="s">
        <v>6929</v>
      </c>
      <c r="E1274" s="8" t="s">
        <v>6930</v>
      </c>
      <c r="F1274" s="8" t="s">
        <v>6931</v>
      </c>
      <c r="G1274" s="6" t="s">
        <v>37</v>
      </c>
      <c r="H1274" s="6" t="s">
        <v>84</v>
      </c>
      <c r="I1274" s="8" t="s">
        <v>251</v>
      </c>
      <c r="J1274" s="9">
        <v>1</v>
      </c>
      <c r="K1274" s="9">
        <v>297</v>
      </c>
      <c r="L1274" s="9">
        <v>2023</v>
      </c>
      <c r="M1274" s="8" t="s">
        <v>6932</v>
      </c>
      <c r="N1274" s="8" t="s">
        <v>40</v>
      </c>
      <c r="O1274" s="8" t="s">
        <v>41</v>
      </c>
      <c r="P1274" s="6" t="s">
        <v>42</v>
      </c>
      <c r="Q1274" s="8" t="s">
        <v>43</v>
      </c>
      <c r="R1274" s="10" t="s">
        <v>6933</v>
      </c>
      <c r="S1274" s="11"/>
      <c r="T1274" s="6"/>
      <c r="U1274" s="28" t="str">
        <f>HYPERLINK("https://media.infra-m.ru/2006/2006093/cover/2006093.jpg", "Обложка")</f>
        <v>Обложка</v>
      </c>
      <c r="V1274" s="28" t="str">
        <f>HYPERLINK("https://znanium.com/catalog/product/989153", "Ознакомиться")</f>
        <v>Ознакомиться</v>
      </c>
      <c r="W1274" s="8" t="s">
        <v>4658</v>
      </c>
      <c r="X1274" s="6"/>
      <c r="Y1274" s="6"/>
      <c r="Z1274" s="6"/>
      <c r="AA1274" s="6" t="s">
        <v>148</v>
      </c>
    </row>
    <row r="1275" spans="1:27" s="4" customFormat="1" ht="42" customHeight="1">
      <c r="A1275" s="5">
        <v>0</v>
      </c>
      <c r="B1275" s="6" t="s">
        <v>6934</v>
      </c>
      <c r="C1275" s="13">
        <v>1150</v>
      </c>
      <c r="D1275" s="8" t="s">
        <v>6935</v>
      </c>
      <c r="E1275" s="8" t="s">
        <v>6936</v>
      </c>
      <c r="F1275" s="8" t="s">
        <v>6937</v>
      </c>
      <c r="G1275" s="6" t="s">
        <v>37</v>
      </c>
      <c r="H1275" s="6" t="s">
        <v>38</v>
      </c>
      <c r="I1275" s="8"/>
      <c r="J1275" s="9">
        <v>1</v>
      </c>
      <c r="K1275" s="9">
        <v>256</v>
      </c>
      <c r="L1275" s="9">
        <v>2023</v>
      </c>
      <c r="M1275" s="8" t="s">
        <v>6938</v>
      </c>
      <c r="N1275" s="8" t="s">
        <v>40</v>
      </c>
      <c r="O1275" s="8" t="s">
        <v>41</v>
      </c>
      <c r="P1275" s="6" t="s">
        <v>42</v>
      </c>
      <c r="Q1275" s="8" t="s">
        <v>43</v>
      </c>
      <c r="R1275" s="10" t="s">
        <v>310</v>
      </c>
      <c r="S1275" s="11"/>
      <c r="T1275" s="6"/>
      <c r="U1275" s="28" t="str">
        <f>HYPERLINK("https://media.infra-m.ru/1929/1929162/cover/1929162.jpg", "Обложка")</f>
        <v>Обложка</v>
      </c>
      <c r="V1275" s="28" t="str">
        <f>HYPERLINK("https://znanium.com/catalog/product/1929162", "Ознакомиться")</f>
        <v>Ознакомиться</v>
      </c>
      <c r="W1275" s="8" t="s">
        <v>78</v>
      </c>
      <c r="X1275" s="6"/>
      <c r="Y1275" s="6"/>
      <c r="Z1275" s="6"/>
      <c r="AA1275" s="6" t="s">
        <v>46</v>
      </c>
    </row>
    <row r="1276" spans="1:27" s="4" customFormat="1" ht="51.95" customHeight="1">
      <c r="A1276" s="5">
        <v>0</v>
      </c>
      <c r="B1276" s="6" t="s">
        <v>6939</v>
      </c>
      <c r="C1276" s="7">
        <v>744.9</v>
      </c>
      <c r="D1276" s="8" t="s">
        <v>6940</v>
      </c>
      <c r="E1276" s="8" t="s">
        <v>6941</v>
      </c>
      <c r="F1276" s="8" t="s">
        <v>6942</v>
      </c>
      <c r="G1276" s="6" t="s">
        <v>58</v>
      </c>
      <c r="H1276" s="6" t="s">
        <v>52</v>
      </c>
      <c r="I1276" s="8" t="s">
        <v>185</v>
      </c>
      <c r="J1276" s="9">
        <v>1</v>
      </c>
      <c r="K1276" s="9">
        <v>254</v>
      </c>
      <c r="L1276" s="9">
        <v>2017</v>
      </c>
      <c r="M1276" s="8" t="s">
        <v>6943</v>
      </c>
      <c r="N1276" s="8" t="s">
        <v>40</v>
      </c>
      <c r="O1276" s="8" t="s">
        <v>41</v>
      </c>
      <c r="P1276" s="6" t="s">
        <v>75</v>
      </c>
      <c r="Q1276" s="8" t="s">
        <v>76</v>
      </c>
      <c r="R1276" s="10" t="s">
        <v>6944</v>
      </c>
      <c r="S1276" s="11"/>
      <c r="T1276" s="6"/>
      <c r="U1276" s="12"/>
      <c r="V1276" s="28" t="str">
        <f>HYPERLINK("https://znanium.com/catalog/product/898583", "Ознакомиться")</f>
        <v>Ознакомиться</v>
      </c>
      <c r="W1276" s="8" t="s">
        <v>1650</v>
      </c>
      <c r="X1276" s="6"/>
      <c r="Y1276" s="6"/>
      <c r="Z1276" s="6"/>
      <c r="AA1276" s="6" t="s">
        <v>289</v>
      </c>
    </row>
    <row r="1277" spans="1:27" s="4" customFormat="1" ht="51.95" customHeight="1">
      <c r="A1277" s="5">
        <v>0</v>
      </c>
      <c r="B1277" s="6" t="s">
        <v>6945</v>
      </c>
      <c r="C1277" s="7">
        <v>830</v>
      </c>
      <c r="D1277" s="8" t="s">
        <v>6946</v>
      </c>
      <c r="E1277" s="8" t="s">
        <v>6947</v>
      </c>
      <c r="F1277" s="8" t="s">
        <v>1646</v>
      </c>
      <c r="G1277" s="6" t="s">
        <v>58</v>
      </c>
      <c r="H1277" s="6" t="s">
        <v>52</v>
      </c>
      <c r="I1277" s="8" t="s">
        <v>185</v>
      </c>
      <c r="J1277" s="9">
        <v>1</v>
      </c>
      <c r="K1277" s="9">
        <v>251</v>
      </c>
      <c r="L1277" s="9">
        <v>2018</v>
      </c>
      <c r="M1277" s="8" t="s">
        <v>6948</v>
      </c>
      <c r="N1277" s="8" t="s">
        <v>40</v>
      </c>
      <c r="O1277" s="8" t="s">
        <v>41</v>
      </c>
      <c r="P1277" s="6" t="s">
        <v>75</v>
      </c>
      <c r="Q1277" s="8" t="s">
        <v>76</v>
      </c>
      <c r="R1277" s="10" t="s">
        <v>6944</v>
      </c>
      <c r="S1277" s="11"/>
      <c r="T1277" s="6"/>
      <c r="U1277" s="28" t="str">
        <f>HYPERLINK("https://media.infra-m.ru/0989/0989852/cover/989852.jpg", "Обложка")</f>
        <v>Обложка</v>
      </c>
      <c r="V1277" s="28" t="str">
        <f>HYPERLINK("https://znanium.com/catalog/product/898583", "Ознакомиться")</f>
        <v>Ознакомиться</v>
      </c>
      <c r="W1277" s="8" t="s">
        <v>1650</v>
      </c>
      <c r="X1277" s="6"/>
      <c r="Y1277" s="6"/>
      <c r="Z1277" s="6"/>
      <c r="AA1277" s="6" t="s">
        <v>171</v>
      </c>
    </row>
    <row r="1278" spans="1:27" s="4" customFormat="1" ht="51.95" customHeight="1">
      <c r="A1278" s="5">
        <v>0</v>
      </c>
      <c r="B1278" s="6" t="s">
        <v>6949</v>
      </c>
      <c r="C1278" s="13">
        <v>2800</v>
      </c>
      <c r="D1278" s="8" t="s">
        <v>6950</v>
      </c>
      <c r="E1278" s="8" t="s">
        <v>6951</v>
      </c>
      <c r="F1278" s="8" t="s">
        <v>6952</v>
      </c>
      <c r="G1278" s="6" t="s">
        <v>58</v>
      </c>
      <c r="H1278" s="6" t="s">
        <v>38</v>
      </c>
      <c r="I1278" s="8"/>
      <c r="J1278" s="9">
        <v>1</v>
      </c>
      <c r="K1278" s="9">
        <v>608</v>
      </c>
      <c r="L1278" s="9">
        <v>2024</v>
      </c>
      <c r="M1278" s="8" t="s">
        <v>6953</v>
      </c>
      <c r="N1278" s="8" t="s">
        <v>40</v>
      </c>
      <c r="O1278" s="8" t="s">
        <v>41</v>
      </c>
      <c r="P1278" s="6" t="s">
        <v>42</v>
      </c>
      <c r="Q1278" s="8" t="s">
        <v>43</v>
      </c>
      <c r="R1278" s="10" t="s">
        <v>5864</v>
      </c>
      <c r="S1278" s="11"/>
      <c r="T1278" s="6"/>
      <c r="U1278" s="28" t="str">
        <f>HYPERLINK("https://media.infra-m.ru/2083/2083859/cover/2083859.jpg", "Обложка")</f>
        <v>Обложка</v>
      </c>
      <c r="V1278" s="28" t="str">
        <f>HYPERLINK("https://znanium.com/catalog/product/1893202", "Ознакомиться")</f>
        <v>Ознакомиться</v>
      </c>
      <c r="W1278" s="8" t="s">
        <v>114</v>
      </c>
      <c r="X1278" s="6"/>
      <c r="Y1278" s="6"/>
      <c r="Z1278" s="6"/>
      <c r="AA1278" s="6" t="s">
        <v>343</v>
      </c>
    </row>
    <row r="1279" spans="1:27" s="4" customFormat="1" ht="51.95" customHeight="1">
      <c r="A1279" s="5">
        <v>0</v>
      </c>
      <c r="B1279" s="6" t="s">
        <v>6954</v>
      </c>
      <c r="C1279" s="13">
        <v>2228</v>
      </c>
      <c r="D1279" s="8" t="s">
        <v>6955</v>
      </c>
      <c r="E1279" s="8" t="s">
        <v>6956</v>
      </c>
      <c r="F1279" s="8" t="s">
        <v>6957</v>
      </c>
      <c r="G1279" s="6" t="s">
        <v>58</v>
      </c>
      <c r="H1279" s="6" t="s">
        <v>38</v>
      </c>
      <c r="I1279" s="8"/>
      <c r="J1279" s="9">
        <v>1</v>
      </c>
      <c r="K1279" s="9">
        <v>568</v>
      </c>
      <c r="L1279" s="9">
        <v>2022</v>
      </c>
      <c r="M1279" s="8" t="s">
        <v>6958</v>
      </c>
      <c r="N1279" s="8" t="s">
        <v>40</v>
      </c>
      <c r="O1279" s="8" t="s">
        <v>41</v>
      </c>
      <c r="P1279" s="6" t="s">
        <v>42</v>
      </c>
      <c r="Q1279" s="8" t="s">
        <v>43</v>
      </c>
      <c r="R1279" s="10" t="s">
        <v>6959</v>
      </c>
      <c r="S1279" s="11"/>
      <c r="T1279" s="6"/>
      <c r="U1279" s="28" t="str">
        <f>HYPERLINK("https://media.infra-m.ru/1871/1871318/cover/1871318.jpg", "Обложка")</f>
        <v>Обложка</v>
      </c>
      <c r="V1279" s="28" t="str">
        <f>HYPERLINK("https://znanium.com/catalog/product/1859092", "Ознакомиться")</f>
        <v>Ознакомиться</v>
      </c>
      <c r="W1279" s="8" t="s">
        <v>124</v>
      </c>
      <c r="X1279" s="6"/>
      <c r="Y1279" s="6"/>
      <c r="Z1279" s="6"/>
      <c r="AA1279" s="6" t="s">
        <v>343</v>
      </c>
    </row>
    <row r="1280" spans="1:27" s="4" customFormat="1" ht="51.95" customHeight="1">
      <c r="A1280" s="5">
        <v>0</v>
      </c>
      <c r="B1280" s="6" t="s">
        <v>6960</v>
      </c>
      <c r="C1280" s="13">
        <v>2990</v>
      </c>
      <c r="D1280" s="8" t="s">
        <v>6961</v>
      </c>
      <c r="E1280" s="8" t="s">
        <v>6962</v>
      </c>
      <c r="F1280" s="8" t="s">
        <v>6963</v>
      </c>
      <c r="G1280" s="6" t="s">
        <v>58</v>
      </c>
      <c r="H1280" s="6" t="s">
        <v>38</v>
      </c>
      <c r="I1280" s="8"/>
      <c r="J1280" s="9">
        <v>1</v>
      </c>
      <c r="K1280" s="9">
        <v>776</v>
      </c>
      <c r="L1280" s="9">
        <v>2023</v>
      </c>
      <c r="M1280" s="8" t="s">
        <v>6964</v>
      </c>
      <c r="N1280" s="8" t="s">
        <v>40</v>
      </c>
      <c r="O1280" s="8" t="s">
        <v>41</v>
      </c>
      <c r="P1280" s="6" t="s">
        <v>95</v>
      </c>
      <c r="Q1280" s="8" t="s">
        <v>76</v>
      </c>
      <c r="R1280" s="10" t="s">
        <v>122</v>
      </c>
      <c r="S1280" s="11"/>
      <c r="T1280" s="6"/>
      <c r="U1280" s="28" t="str">
        <f>HYPERLINK("https://media.infra-m.ru/1908/1908882/cover/1908882.jpg", "Обложка")</f>
        <v>Обложка</v>
      </c>
      <c r="V1280" s="28" t="str">
        <f>HYPERLINK("https://znanium.com/catalog/product/1908882", "Ознакомиться")</f>
        <v>Ознакомиться</v>
      </c>
      <c r="W1280" s="8" t="s">
        <v>1356</v>
      </c>
      <c r="X1280" s="6" t="s">
        <v>904</v>
      </c>
      <c r="Y1280" s="6"/>
      <c r="Z1280" s="6"/>
      <c r="AA1280" s="6" t="s">
        <v>408</v>
      </c>
    </row>
    <row r="1281" spans="1:27" s="4" customFormat="1" ht="51.95" customHeight="1">
      <c r="A1281" s="5">
        <v>0</v>
      </c>
      <c r="B1281" s="6" t="s">
        <v>6965</v>
      </c>
      <c r="C1281" s="13">
        <v>1344.9</v>
      </c>
      <c r="D1281" s="8" t="s">
        <v>6966</v>
      </c>
      <c r="E1281" s="8" t="s">
        <v>6967</v>
      </c>
      <c r="F1281" s="8" t="s">
        <v>6968</v>
      </c>
      <c r="G1281" s="6" t="s">
        <v>58</v>
      </c>
      <c r="H1281" s="6" t="s">
        <v>38</v>
      </c>
      <c r="I1281" s="8"/>
      <c r="J1281" s="9">
        <v>1</v>
      </c>
      <c r="K1281" s="9">
        <v>368</v>
      </c>
      <c r="L1281" s="9">
        <v>2020</v>
      </c>
      <c r="M1281" s="8" t="s">
        <v>6969</v>
      </c>
      <c r="N1281" s="8" t="s">
        <v>40</v>
      </c>
      <c r="O1281" s="8" t="s">
        <v>41</v>
      </c>
      <c r="P1281" s="6" t="s">
        <v>95</v>
      </c>
      <c r="Q1281" s="8" t="s">
        <v>76</v>
      </c>
      <c r="R1281" s="10" t="s">
        <v>558</v>
      </c>
      <c r="S1281" s="11" t="s">
        <v>6970</v>
      </c>
      <c r="T1281" s="6"/>
      <c r="U1281" s="28" t="str">
        <f>HYPERLINK("https://media.infra-m.ru/1093/1093285/cover/1093285.jpg", "Обложка")</f>
        <v>Обложка</v>
      </c>
      <c r="V1281" s="28" t="str">
        <f>HYPERLINK("https://znanium.com/catalog/product/1977971", "Ознакомиться")</f>
        <v>Ознакомиться</v>
      </c>
      <c r="W1281" s="8" t="s">
        <v>897</v>
      </c>
      <c r="X1281" s="6"/>
      <c r="Y1281" s="6"/>
      <c r="Z1281" s="6"/>
      <c r="AA1281" s="6" t="s">
        <v>836</v>
      </c>
    </row>
    <row r="1282" spans="1:27" s="4" customFormat="1" ht="51.95" customHeight="1">
      <c r="A1282" s="5">
        <v>0</v>
      </c>
      <c r="B1282" s="6" t="s">
        <v>6971</v>
      </c>
      <c r="C1282" s="13">
        <v>1720</v>
      </c>
      <c r="D1282" s="8" t="s">
        <v>6972</v>
      </c>
      <c r="E1282" s="8" t="s">
        <v>6973</v>
      </c>
      <c r="F1282" s="8" t="s">
        <v>6968</v>
      </c>
      <c r="G1282" s="6" t="s">
        <v>37</v>
      </c>
      <c r="H1282" s="6" t="s">
        <v>38</v>
      </c>
      <c r="I1282" s="8"/>
      <c r="J1282" s="9">
        <v>1</v>
      </c>
      <c r="K1282" s="9">
        <v>376</v>
      </c>
      <c r="L1282" s="9">
        <v>2023</v>
      </c>
      <c r="M1282" s="8" t="s">
        <v>6974</v>
      </c>
      <c r="N1282" s="8" t="s">
        <v>40</v>
      </c>
      <c r="O1282" s="8" t="s">
        <v>41</v>
      </c>
      <c r="P1282" s="6" t="s">
        <v>95</v>
      </c>
      <c r="Q1282" s="8" t="s">
        <v>76</v>
      </c>
      <c r="R1282" s="10" t="s">
        <v>558</v>
      </c>
      <c r="S1282" s="11" t="s">
        <v>6970</v>
      </c>
      <c r="T1282" s="6"/>
      <c r="U1282" s="28" t="str">
        <f>HYPERLINK("https://media.infra-m.ru/1977/1977971/cover/1977971.jpg", "Обложка")</f>
        <v>Обложка</v>
      </c>
      <c r="V1282" s="28" t="str">
        <f>HYPERLINK("https://znanium.com/catalog/product/1977971", "Ознакомиться")</f>
        <v>Ознакомиться</v>
      </c>
      <c r="W1282" s="8" t="s">
        <v>897</v>
      </c>
      <c r="X1282" s="6"/>
      <c r="Y1282" s="6"/>
      <c r="Z1282" s="6"/>
      <c r="AA1282" s="6" t="s">
        <v>2431</v>
      </c>
    </row>
    <row r="1283" spans="1:27" s="4" customFormat="1" ht="51.95" customHeight="1">
      <c r="A1283" s="5">
        <v>0</v>
      </c>
      <c r="B1283" s="6" t="s">
        <v>6975</v>
      </c>
      <c r="C1283" s="7">
        <v>824.9</v>
      </c>
      <c r="D1283" s="8" t="s">
        <v>6976</v>
      </c>
      <c r="E1283" s="8" t="s">
        <v>6962</v>
      </c>
      <c r="F1283" s="8" t="s">
        <v>6977</v>
      </c>
      <c r="G1283" s="6" t="s">
        <v>1726</v>
      </c>
      <c r="H1283" s="6" t="s">
        <v>38</v>
      </c>
      <c r="I1283" s="8"/>
      <c r="J1283" s="9">
        <v>10</v>
      </c>
      <c r="K1283" s="9">
        <v>464</v>
      </c>
      <c r="L1283" s="9">
        <v>2015</v>
      </c>
      <c r="M1283" s="8" t="s">
        <v>6978</v>
      </c>
      <c r="N1283" s="8" t="s">
        <v>40</v>
      </c>
      <c r="O1283" s="8" t="s">
        <v>41</v>
      </c>
      <c r="P1283" s="6" t="s">
        <v>95</v>
      </c>
      <c r="Q1283" s="8" t="s">
        <v>76</v>
      </c>
      <c r="R1283" s="10" t="s">
        <v>558</v>
      </c>
      <c r="S1283" s="11" t="s">
        <v>6979</v>
      </c>
      <c r="T1283" s="6"/>
      <c r="U1283" s="28" t="str">
        <f>HYPERLINK("https://media.infra-m.ru/0518/0518397/cover/518397.jpg", "Обложка")</f>
        <v>Обложка</v>
      </c>
      <c r="V1283" s="28" t="str">
        <f>HYPERLINK("https://znanium.com/catalog/product/1977971", "Ознакомиться")</f>
        <v>Ознакомиться</v>
      </c>
      <c r="W1283" s="8" t="s">
        <v>897</v>
      </c>
      <c r="X1283" s="6"/>
      <c r="Y1283" s="6"/>
      <c r="Z1283" s="6"/>
      <c r="AA1283" s="6" t="s">
        <v>622</v>
      </c>
    </row>
    <row r="1284" spans="1:27" s="4" customFormat="1" ht="44.1" customHeight="1">
      <c r="A1284" s="5">
        <v>0</v>
      </c>
      <c r="B1284" s="6" t="s">
        <v>6980</v>
      </c>
      <c r="C1284" s="13">
        <v>1590</v>
      </c>
      <c r="D1284" s="8" t="s">
        <v>6981</v>
      </c>
      <c r="E1284" s="8" t="s">
        <v>6962</v>
      </c>
      <c r="F1284" s="8" t="s">
        <v>6982</v>
      </c>
      <c r="G1284" s="6" t="s">
        <v>58</v>
      </c>
      <c r="H1284" s="6" t="s">
        <v>84</v>
      </c>
      <c r="I1284" s="8" t="s">
        <v>93</v>
      </c>
      <c r="J1284" s="9">
        <v>1</v>
      </c>
      <c r="K1284" s="9">
        <v>331</v>
      </c>
      <c r="L1284" s="9">
        <v>2023</v>
      </c>
      <c r="M1284" s="8" t="s">
        <v>6983</v>
      </c>
      <c r="N1284" s="8" t="s">
        <v>40</v>
      </c>
      <c r="O1284" s="8" t="s">
        <v>41</v>
      </c>
      <c r="P1284" s="6" t="s">
        <v>95</v>
      </c>
      <c r="Q1284" s="8" t="s">
        <v>96</v>
      </c>
      <c r="R1284" s="10" t="s">
        <v>6984</v>
      </c>
      <c r="S1284" s="11"/>
      <c r="T1284" s="6"/>
      <c r="U1284" s="28" t="str">
        <f>HYPERLINK("https://media.infra-m.ru/1908/1908962/cover/1908962.jpg", "Обложка")</f>
        <v>Обложка</v>
      </c>
      <c r="V1284" s="28" t="str">
        <f>HYPERLINK("https://znanium.com/catalog/product/1908962", "Ознакомиться")</f>
        <v>Ознакомиться</v>
      </c>
      <c r="W1284" s="8" t="s">
        <v>2729</v>
      </c>
      <c r="X1284" s="6" t="s">
        <v>99</v>
      </c>
      <c r="Y1284" s="6"/>
      <c r="Z1284" s="6"/>
      <c r="AA1284" s="6" t="s">
        <v>408</v>
      </c>
    </row>
    <row r="1285" spans="1:27" s="4" customFormat="1" ht="51.95" customHeight="1">
      <c r="A1285" s="5">
        <v>0</v>
      </c>
      <c r="B1285" s="6" t="s">
        <v>6985</v>
      </c>
      <c r="C1285" s="13">
        <v>1430</v>
      </c>
      <c r="D1285" s="8" t="s">
        <v>6986</v>
      </c>
      <c r="E1285" s="8" t="s">
        <v>6962</v>
      </c>
      <c r="F1285" s="8" t="s">
        <v>4637</v>
      </c>
      <c r="G1285" s="6" t="s">
        <v>37</v>
      </c>
      <c r="H1285" s="6" t="s">
        <v>84</v>
      </c>
      <c r="I1285" s="8" t="s">
        <v>93</v>
      </c>
      <c r="J1285" s="9">
        <v>1</v>
      </c>
      <c r="K1285" s="9">
        <v>316</v>
      </c>
      <c r="L1285" s="9">
        <v>2023</v>
      </c>
      <c r="M1285" s="8" t="s">
        <v>6987</v>
      </c>
      <c r="N1285" s="8" t="s">
        <v>40</v>
      </c>
      <c r="O1285" s="8" t="s">
        <v>41</v>
      </c>
      <c r="P1285" s="6" t="s">
        <v>75</v>
      </c>
      <c r="Q1285" s="8" t="s">
        <v>96</v>
      </c>
      <c r="R1285" s="10" t="s">
        <v>181</v>
      </c>
      <c r="S1285" s="11" t="s">
        <v>6988</v>
      </c>
      <c r="T1285" s="6"/>
      <c r="U1285" s="28" t="str">
        <f>HYPERLINK("https://media.infra-m.ru/1932/1932343/cover/1932343.jpg", "Обложка")</f>
        <v>Обложка</v>
      </c>
      <c r="V1285" s="28" t="str">
        <f>HYPERLINK("https://znanium.com/catalog/product/1932343", "Ознакомиться")</f>
        <v>Ознакомиться</v>
      </c>
      <c r="W1285" s="8" t="s">
        <v>170</v>
      </c>
      <c r="X1285" s="6"/>
      <c r="Y1285" s="6"/>
      <c r="Z1285" s="6"/>
      <c r="AA1285" s="6" t="s">
        <v>115</v>
      </c>
    </row>
    <row r="1286" spans="1:27" s="4" customFormat="1" ht="51.95" customHeight="1">
      <c r="A1286" s="5">
        <v>0</v>
      </c>
      <c r="B1286" s="6" t="s">
        <v>6989</v>
      </c>
      <c r="C1286" s="7">
        <v>684.9</v>
      </c>
      <c r="D1286" s="8" t="s">
        <v>6990</v>
      </c>
      <c r="E1286" s="8" t="s">
        <v>6967</v>
      </c>
      <c r="F1286" s="8" t="s">
        <v>6991</v>
      </c>
      <c r="G1286" s="6" t="s">
        <v>58</v>
      </c>
      <c r="H1286" s="6" t="s">
        <v>84</v>
      </c>
      <c r="I1286" s="8" t="s">
        <v>185</v>
      </c>
      <c r="J1286" s="9">
        <v>20</v>
      </c>
      <c r="K1286" s="9">
        <v>312</v>
      </c>
      <c r="L1286" s="9">
        <v>2016</v>
      </c>
      <c r="M1286" s="8" t="s">
        <v>6992</v>
      </c>
      <c r="N1286" s="8" t="s">
        <v>40</v>
      </c>
      <c r="O1286" s="8" t="s">
        <v>41</v>
      </c>
      <c r="P1286" s="6" t="s">
        <v>75</v>
      </c>
      <c r="Q1286" s="8" t="s">
        <v>76</v>
      </c>
      <c r="R1286" s="10" t="s">
        <v>6993</v>
      </c>
      <c r="S1286" s="11" t="s">
        <v>6994</v>
      </c>
      <c r="T1286" s="6"/>
      <c r="U1286" s="28" t="str">
        <f>HYPERLINK("https://media.infra-m.ru/0608/0608769/cover/608769.jpg", "Обложка")</f>
        <v>Обложка</v>
      </c>
      <c r="V1286" s="28" t="str">
        <f>HYPERLINK("https://znanium.com/catalog/product/499267", "Ознакомиться")</f>
        <v>Ознакомиться</v>
      </c>
      <c r="W1286" s="8"/>
      <c r="X1286" s="6"/>
      <c r="Y1286" s="6"/>
      <c r="Z1286" s="6"/>
      <c r="AA1286" s="6" t="s">
        <v>2442</v>
      </c>
    </row>
    <row r="1287" spans="1:27" s="4" customFormat="1" ht="42" customHeight="1">
      <c r="A1287" s="5">
        <v>0</v>
      </c>
      <c r="B1287" s="6" t="s">
        <v>6995</v>
      </c>
      <c r="C1287" s="13">
        <v>2180</v>
      </c>
      <c r="D1287" s="8" t="s">
        <v>6996</v>
      </c>
      <c r="E1287" s="8" t="s">
        <v>6997</v>
      </c>
      <c r="F1287" s="8" t="s">
        <v>6998</v>
      </c>
      <c r="G1287" s="6" t="s">
        <v>37</v>
      </c>
      <c r="H1287" s="6" t="s">
        <v>38</v>
      </c>
      <c r="I1287" s="8"/>
      <c r="J1287" s="9">
        <v>1</v>
      </c>
      <c r="K1287" s="9">
        <v>480</v>
      </c>
      <c r="L1287" s="9">
        <v>2023</v>
      </c>
      <c r="M1287" s="8" t="s">
        <v>6999</v>
      </c>
      <c r="N1287" s="8" t="s">
        <v>40</v>
      </c>
      <c r="O1287" s="8" t="s">
        <v>41</v>
      </c>
      <c r="P1287" s="6" t="s">
        <v>42</v>
      </c>
      <c r="Q1287" s="8" t="s">
        <v>43</v>
      </c>
      <c r="R1287" s="10" t="s">
        <v>310</v>
      </c>
      <c r="S1287" s="11"/>
      <c r="T1287" s="6"/>
      <c r="U1287" s="28" t="str">
        <f>HYPERLINK("https://media.infra-m.ru/1993/1993592/cover/1993592.jpg", "Обложка")</f>
        <v>Обложка</v>
      </c>
      <c r="V1287" s="28" t="str">
        <f>HYPERLINK("https://znanium.com/catalog/product/1993592", "Ознакомиться")</f>
        <v>Ознакомиться</v>
      </c>
      <c r="W1287" s="8" t="s">
        <v>897</v>
      </c>
      <c r="X1287" s="6"/>
      <c r="Y1287" s="6"/>
      <c r="Z1287" s="6"/>
      <c r="AA1287" s="6" t="s">
        <v>46</v>
      </c>
    </row>
    <row r="1288" spans="1:27" s="4" customFormat="1" ht="51.95" customHeight="1">
      <c r="A1288" s="5">
        <v>0</v>
      </c>
      <c r="B1288" s="6" t="s">
        <v>7000</v>
      </c>
      <c r="C1288" s="7">
        <v>780</v>
      </c>
      <c r="D1288" s="8" t="s">
        <v>7001</v>
      </c>
      <c r="E1288" s="8" t="s">
        <v>7002</v>
      </c>
      <c r="F1288" s="8" t="s">
        <v>1646</v>
      </c>
      <c r="G1288" s="6" t="s">
        <v>51</v>
      </c>
      <c r="H1288" s="6" t="s">
        <v>84</v>
      </c>
      <c r="I1288" s="8" t="s">
        <v>1647</v>
      </c>
      <c r="J1288" s="9">
        <v>1</v>
      </c>
      <c r="K1288" s="9">
        <v>195</v>
      </c>
      <c r="L1288" s="9">
        <v>2022</v>
      </c>
      <c r="M1288" s="8" t="s">
        <v>7003</v>
      </c>
      <c r="N1288" s="8" t="s">
        <v>40</v>
      </c>
      <c r="O1288" s="8" t="s">
        <v>41</v>
      </c>
      <c r="P1288" s="6" t="s">
        <v>811</v>
      </c>
      <c r="Q1288" s="8" t="s">
        <v>43</v>
      </c>
      <c r="R1288" s="10" t="s">
        <v>7004</v>
      </c>
      <c r="S1288" s="11"/>
      <c r="T1288" s="6" t="s">
        <v>368</v>
      </c>
      <c r="U1288" s="28" t="str">
        <f>HYPERLINK("https://media.infra-m.ru/1850/1850658/cover/1850658.jpg", "Обложка")</f>
        <v>Обложка</v>
      </c>
      <c r="V1288" s="28" t="str">
        <f>HYPERLINK("https://znanium.com/catalog/product/1850658", "Ознакомиться")</f>
        <v>Ознакомиться</v>
      </c>
      <c r="W1288" s="8" t="s">
        <v>1650</v>
      </c>
      <c r="X1288" s="6"/>
      <c r="Y1288" s="6"/>
      <c r="Z1288" s="6"/>
      <c r="AA1288" s="6" t="s">
        <v>143</v>
      </c>
    </row>
    <row r="1289" spans="1:27" s="4" customFormat="1" ht="51.95" customHeight="1">
      <c r="A1289" s="5">
        <v>0</v>
      </c>
      <c r="B1289" s="6" t="s">
        <v>7005</v>
      </c>
      <c r="C1289" s="7">
        <v>690</v>
      </c>
      <c r="D1289" s="8" t="s">
        <v>7006</v>
      </c>
      <c r="E1289" s="8" t="s">
        <v>7007</v>
      </c>
      <c r="F1289" s="8" t="s">
        <v>1646</v>
      </c>
      <c r="G1289" s="6" t="s">
        <v>51</v>
      </c>
      <c r="H1289" s="6" t="s">
        <v>84</v>
      </c>
      <c r="I1289" s="8" t="s">
        <v>1647</v>
      </c>
      <c r="J1289" s="9">
        <v>1</v>
      </c>
      <c r="K1289" s="9">
        <v>190</v>
      </c>
      <c r="L1289" s="9">
        <v>2021</v>
      </c>
      <c r="M1289" s="8" t="s">
        <v>7008</v>
      </c>
      <c r="N1289" s="8" t="s">
        <v>40</v>
      </c>
      <c r="O1289" s="8" t="s">
        <v>41</v>
      </c>
      <c r="P1289" s="6" t="s">
        <v>811</v>
      </c>
      <c r="Q1289" s="8" t="s">
        <v>43</v>
      </c>
      <c r="R1289" s="10" t="s">
        <v>7004</v>
      </c>
      <c r="S1289" s="11"/>
      <c r="T1289" s="6" t="s">
        <v>368</v>
      </c>
      <c r="U1289" s="28" t="str">
        <f>HYPERLINK("https://media.infra-m.ru/1362/1362601/cover/1362601.jpg", "Обложка")</f>
        <v>Обложка</v>
      </c>
      <c r="V1289" s="28" t="str">
        <f>HYPERLINK("https://znanium.com/catalog/product/1850658", "Ознакомиться")</f>
        <v>Ознакомиться</v>
      </c>
      <c r="W1289" s="8" t="s">
        <v>1650</v>
      </c>
      <c r="X1289" s="6"/>
      <c r="Y1289" s="6"/>
      <c r="Z1289" s="6"/>
      <c r="AA1289" s="6" t="s">
        <v>148</v>
      </c>
    </row>
    <row r="1290" spans="1:27" s="4" customFormat="1" ht="42" customHeight="1">
      <c r="A1290" s="5">
        <v>0</v>
      </c>
      <c r="B1290" s="6" t="s">
        <v>7009</v>
      </c>
      <c r="C1290" s="7">
        <v>880</v>
      </c>
      <c r="D1290" s="8" t="s">
        <v>7010</v>
      </c>
      <c r="E1290" s="8" t="s">
        <v>7011</v>
      </c>
      <c r="F1290" s="8" t="s">
        <v>2310</v>
      </c>
      <c r="G1290" s="6" t="s">
        <v>51</v>
      </c>
      <c r="H1290" s="6" t="s">
        <v>84</v>
      </c>
      <c r="I1290" s="8" t="s">
        <v>251</v>
      </c>
      <c r="J1290" s="9">
        <v>1</v>
      </c>
      <c r="K1290" s="9">
        <v>250</v>
      </c>
      <c r="L1290" s="9">
        <v>2020</v>
      </c>
      <c r="M1290" s="8" t="s">
        <v>7012</v>
      </c>
      <c r="N1290" s="8" t="s">
        <v>40</v>
      </c>
      <c r="O1290" s="8" t="s">
        <v>41</v>
      </c>
      <c r="P1290" s="6" t="s">
        <v>42</v>
      </c>
      <c r="Q1290" s="8" t="s">
        <v>43</v>
      </c>
      <c r="R1290" s="10" t="s">
        <v>310</v>
      </c>
      <c r="S1290" s="11"/>
      <c r="T1290" s="6"/>
      <c r="U1290" s="28" t="str">
        <f>HYPERLINK("https://media.infra-m.ru/1078/1078364/cover/1078364.jpg", "Обложка")</f>
        <v>Обложка</v>
      </c>
      <c r="V1290" s="28" t="str">
        <f>HYPERLINK("https://znanium.com/catalog/product/1078364", "Ознакомиться")</f>
        <v>Ознакомиться</v>
      </c>
      <c r="W1290" s="8" t="s">
        <v>712</v>
      </c>
      <c r="X1290" s="6"/>
      <c r="Y1290" s="6"/>
      <c r="Z1290" s="6"/>
      <c r="AA1290" s="6" t="s">
        <v>289</v>
      </c>
    </row>
    <row r="1291" spans="1:27" s="4" customFormat="1" ht="51.95" customHeight="1">
      <c r="A1291" s="5">
        <v>0</v>
      </c>
      <c r="B1291" s="6" t="s">
        <v>7013</v>
      </c>
      <c r="C1291" s="7">
        <v>800</v>
      </c>
      <c r="D1291" s="8" t="s">
        <v>7014</v>
      </c>
      <c r="E1291" s="8" t="s">
        <v>7015</v>
      </c>
      <c r="F1291" s="8" t="s">
        <v>7016</v>
      </c>
      <c r="G1291" s="6" t="s">
        <v>51</v>
      </c>
      <c r="H1291" s="6" t="s">
        <v>84</v>
      </c>
      <c r="I1291" s="8" t="s">
        <v>251</v>
      </c>
      <c r="J1291" s="9">
        <v>1</v>
      </c>
      <c r="K1291" s="9">
        <v>164</v>
      </c>
      <c r="L1291" s="9">
        <v>2023</v>
      </c>
      <c r="M1291" s="8" t="s">
        <v>7017</v>
      </c>
      <c r="N1291" s="8" t="s">
        <v>40</v>
      </c>
      <c r="O1291" s="8" t="s">
        <v>41</v>
      </c>
      <c r="P1291" s="6" t="s">
        <v>42</v>
      </c>
      <c r="Q1291" s="8" t="s">
        <v>43</v>
      </c>
      <c r="R1291" s="10" t="s">
        <v>7018</v>
      </c>
      <c r="S1291" s="11"/>
      <c r="T1291" s="6"/>
      <c r="U1291" s="28" t="str">
        <f>HYPERLINK("https://media.infra-m.ru/2072/2072548/cover/2072548.jpg", "Обложка")</f>
        <v>Обложка</v>
      </c>
      <c r="V1291" s="28" t="str">
        <f>HYPERLINK("https://znanium.com/catalog/product/1921367", "Ознакомиться")</f>
        <v>Ознакомиться</v>
      </c>
      <c r="W1291" s="8" t="s">
        <v>7019</v>
      </c>
      <c r="X1291" s="6"/>
      <c r="Y1291" s="6"/>
      <c r="Z1291" s="6"/>
      <c r="AA1291" s="6" t="s">
        <v>408</v>
      </c>
    </row>
    <row r="1292" spans="1:27" s="4" customFormat="1" ht="51.95" customHeight="1">
      <c r="A1292" s="5">
        <v>0</v>
      </c>
      <c r="B1292" s="6" t="s">
        <v>7020</v>
      </c>
      <c r="C1292" s="7">
        <v>504.9</v>
      </c>
      <c r="D1292" s="8" t="s">
        <v>7021</v>
      </c>
      <c r="E1292" s="8" t="s">
        <v>7022</v>
      </c>
      <c r="F1292" s="8" t="s">
        <v>7023</v>
      </c>
      <c r="G1292" s="6" t="s">
        <v>51</v>
      </c>
      <c r="H1292" s="6" t="s">
        <v>84</v>
      </c>
      <c r="I1292" s="8" t="s">
        <v>251</v>
      </c>
      <c r="J1292" s="9">
        <v>1</v>
      </c>
      <c r="K1292" s="9">
        <v>144</v>
      </c>
      <c r="L1292" s="9">
        <v>2020</v>
      </c>
      <c r="M1292" s="8" t="s">
        <v>7024</v>
      </c>
      <c r="N1292" s="8" t="s">
        <v>40</v>
      </c>
      <c r="O1292" s="8" t="s">
        <v>41</v>
      </c>
      <c r="P1292" s="6" t="s">
        <v>42</v>
      </c>
      <c r="Q1292" s="8" t="s">
        <v>43</v>
      </c>
      <c r="R1292" s="10" t="s">
        <v>5215</v>
      </c>
      <c r="S1292" s="11"/>
      <c r="T1292" s="6"/>
      <c r="U1292" s="28" t="str">
        <f>HYPERLINK("https://media.infra-m.ru/1081/1081369/cover/1081369.jpg", "Обложка")</f>
        <v>Обложка</v>
      </c>
      <c r="V1292" s="28" t="str">
        <f>HYPERLINK("https://znanium.com/catalog/product/939274", "Ознакомиться")</f>
        <v>Ознакомиться</v>
      </c>
      <c r="W1292" s="8" t="s">
        <v>5923</v>
      </c>
      <c r="X1292" s="6"/>
      <c r="Y1292" s="6"/>
      <c r="Z1292" s="6"/>
      <c r="AA1292" s="6" t="s">
        <v>422</v>
      </c>
    </row>
    <row r="1293" spans="1:27" s="4" customFormat="1" ht="42" customHeight="1">
      <c r="A1293" s="5">
        <v>0</v>
      </c>
      <c r="B1293" s="6" t="s">
        <v>7025</v>
      </c>
      <c r="C1293" s="13">
        <v>1994.9</v>
      </c>
      <c r="D1293" s="8" t="s">
        <v>7026</v>
      </c>
      <c r="E1293" s="8" t="s">
        <v>7027</v>
      </c>
      <c r="F1293" s="8" t="s">
        <v>7028</v>
      </c>
      <c r="G1293" s="6" t="s">
        <v>58</v>
      </c>
      <c r="H1293" s="6" t="s">
        <v>617</v>
      </c>
      <c r="I1293" s="8" t="s">
        <v>1525</v>
      </c>
      <c r="J1293" s="9">
        <v>1</v>
      </c>
      <c r="K1293" s="9">
        <v>658</v>
      </c>
      <c r="L1293" s="9">
        <v>2023</v>
      </c>
      <c r="M1293" s="8" t="s">
        <v>7029</v>
      </c>
      <c r="N1293" s="8" t="s">
        <v>40</v>
      </c>
      <c r="O1293" s="8" t="s">
        <v>41</v>
      </c>
      <c r="P1293" s="6" t="s">
        <v>42</v>
      </c>
      <c r="Q1293" s="8" t="s">
        <v>43</v>
      </c>
      <c r="R1293" s="10" t="s">
        <v>304</v>
      </c>
      <c r="S1293" s="11"/>
      <c r="T1293" s="6"/>
      <c r="U1293" s="28" t="str">
        <f>HYPERLINK("https://media.infra-m.ru/1913/1913220/cover/1913220.jpg", "Обложка")</f>
        <v>Обложка</v>
      </c>
      <c r="V1293" s="12"/>
      <c r="W1293" s="8" t="s">
        <v>1362</v>
      </c>
      <c r="X1293" s="6"/>
      <c r="Y1293" s="6"/>
      <c r="Z1293" s="6"/>
      <c r="AA1293" s="6" t="s">
        <v>2168</v>
      </c>
    </row>
    <row r="1294" spans="1:27" s="4" customFormat="1" ht="42" customHeight="1">
      <c r="A1294" s="5">
        <v>0</v>
      </c>
      <c r="B1294" s="6" t="s">
        <v>7030</v>
      </c>
      <c r="C1294" s="13">
        <v>1580</v>
      </c>
      <c r="D1294" s="8" t="s">
        <v>7031</v>
      </c>
      <c r="E1294" s="8" t="s">
        <v>7032</v>
      </c>
      <c r="F1294" s="8" t="s">
        <v>7033</v>
      </c>
      <c r="G1294" s="6" t="s">
        <v>37</v>
      </c>
      <c r="H1294" s="6" t="s">
        <v>84</v>
      </c>
      <c r="I1294" s="8" t="s">
        <v>251</v>
      </c>
      <c r="J1294" s="9">
        <v>1</v>
      </c>
      <c r="K1294" s="9">
        <v>351</v>
      </c>
      <c r="L1294" s="9">
        <v>2023</v>
      </c>
      <c r="M1294" s="8" t="s">
        <v>7034</v>
      </c>
      <c r="N1294" s="8" t="s">
        <v>40</v>
      </c>
      <c r="O1294" s="8" t="s">
        <v>41</v>
      </c>
      <c r="P1294" s="6" t="s">
        <v>42</v>
      </c>
      <c r="Q1294" s="8" t="s">
        <v>43</v>
      </c>
      <c r="R1294" s="10" t="s">
        <v>3647</v>
      </c>
      <c r="S1294" s="11"/>
      <c r="T1294" s="6"/>
      <c r="U1294" s="28" t="str">
        <f>HYPERLINK("https://media.infra-m.ru/1895/1895089/cover/1895089.jpg", "Обложка")</f>
        <v>Обложка</v>
      </c>
      <c r="V1294" s="28" t="str">
        <f>HYPERLINK("https://znanium.com/catalog/product/1895089", "Ознакомиться")</f>
        <v>Ознакомиться</v>
      </c>
      <c r="W1294" s="8" t="s">
        <v>3206</v>
      </c>
      <c r="X1294" s="6"/>
      <c r="Y1294" s="6"/>
      <c r="Z1294" s="6"/>
      <c r="AA1294" s="6" t="s">
        <v>143</v>
      </c>
    </row>
    <row r="1295" spans="1:27" s="4" customFormat="1" ht="42" customHeight="1">
      <c r="A1295" s="5">
        <v>0</v>
      </c>
      <c r="B1295" s="6" t="s">
        <v>7035</v>
      </c>
      <c r="C1295" s="7">
        <v>890</v>
      </c>
      <c r="D1295" s="8" t="s">
        <v>7036</v>
      </c>
      <c r="E1295" s="8" t="s">
        <v>7037</v>
      </c>
      <c r="F1295" s="8" t="s">
        <v>7033</v>
      </c>
      <c r="G1295" s="6" t="s">
        <v>51</v>
      </c>
      <c r="H1295" s="6" t="s">
        <v>84</v>
      </c>
      <c r="I1295" s="8" t="s">
        <v>251</v>
      </c>
      <c r="J1295" s="9">
        <v>1</v>
      </c>
      <c r="K1295" s="9">
        <v>227</v>
      </c>
      <c r="L1295" s="9">
        <v>2022</v>
      </c>
      <c r="M1295" s="8" t="s">
        <v>7038</v>
      </c>
      <c r="N1295" s="8" t="s">
        <v>40</v>
      </c>
      <c r="O1295" s="8" t="s">
        <v>41</v>
      </c>
      <c r="P1295" s="6" t="s">
        <v>42</v>
      </c>
      <c r="Q1295" s="8" t="s">
        <v>43</v>
      </c>
      <c r="R1295" s="10" t="s">
        <v>3647</v>
      </c>
      <c r="S1295" s="11"/>
      <c r="T1295" s="6"/>
      <c r="U1295" s="28" t="str">
        <f>HYPERLINK("https://media.infra-m.ru/1816/1816360/cover/1816360.jpg", "Обложка")</f>
        <v>Обложка</v>
      </c>
      <c r="V1295" s="28" t="str">
        <f>HYPERLINK("https://znanium.com/catalog/product/1895089", "Ознакомиться")</f>
        <v>Ознакомиться</v>
      </c>
      <c r="W1295" s="8" t="s">
        <v>3206</v>
      </c>
      <c r="X1295" s="6"/>
      <c r="Y1295" s="6"/>
      <c r="Z1295" s="6"/>
      <c r="AA1295" s="6" t="s">
        <v>79</v>
      </c>
    </row>
    <row r="1296" spans="1:27" s="4" customFormat="1" ht="51.95" customHeight="1">
      <c r="A1296" s="5">
        <v>0</v>
      </c>
      <c r="B1296" s="6" t="s">
        <v>7039</v>
      </c>
      <c r="C1296" s="13">
        <v>1299.9000000000001</v>
      </c>
      <c r="D1296" s="8" t="s">
        <v>7040</v>
      </c>
      <c r="E1296" s="8" t="s">
        <v>7041</v>
      </c>
      <c r="F1296" s="8" t="s">
        <v>7042</v>
      </c>
      <c r="G1296" s="6" t="s">
        <v>58</v>
      </c>
      <c r="H1296" s="6" t="s">
        <v>52</v>
      </c>
      <c r="I1296" s="8" t="s">
        <v>185</v>
      </c>
      <c r="J1296" s="9">
        <v>6</v>
      </c>
      <c r="K1296" s="9">
        <v>752</v>
      </c>
      <c r="L1296" s="9">
        <v>2017</v>
      </c>
      <c r="M1296" s="8" t="s">
        <v>7043</v>
      </c>
      <c r="N1296" s="8" t="s">
        <v>40</v>
      </c>
      <c r="O1296" s="8" t="s">
        <v>41</v>
      </c>
      <c r="P1296" s="6" t="s">
        <v>95</v>
      </c>
      <c r="Q1296" s="8" t="s">
        <v>76</v>
      </c>
      <c r="R1296" s="10" t="s">
        <v>3183</v>
      </c>
      <c r="S1296" s="11"/>
      <c r="T1296" s="6" t="s">
        <v>368</v>
      </c>
      <c r="U1296" s="28" t="str">
        <f>HYPERLINK("https://media.infra-m.ru/0612/0612279/cover/612279.jpg", "Обложка")</f>
        <v>Обложка</v>
      </c>
      <c r="V1296" s="28" t="str">
        <f>HYPERLINK("https://znanium.com/catalog/product/1941768", "Ознакомиться")</f>
        <v>Ознакомиться</v>
      </c>
      <c r="W1296" s="8"/>
      <c r="X1296" s="6"/>
      <c r="Y1296" s="6"/>
      <c r="Z1296" s="6"/>
      <c r="AA1296" s="6" t="s">
        <v>1120</v>
      </c>
    </row>
    <row r="1297" spans="1:27" s="4" customFormat="1" ht="51.95" customHeight="1">
      <c r="A1297" s="5">
        <v>0</v>
      </c>
      <c r="B1297" s="6" t="s">
        <v>7044</v>
      </c>
      <c r="C1297" s="13">
        <v>2884.9</v>
      </c>
      <c r="D1297" s="8" t="s">
        <v>7045</v>
      </c>
      <c r="E1297" s="8" t="s">
        <v>7046</v>
      </c>
      <c r="F1297" s="8" t="s">
        <v>7047</v>
      </c>
      <c r="G1297" s="6" t="s">
        <v>58</v>
      </c>
      <c r="H1297" s="6" t="s">
        <v>52</v>
      </c>
      <c r="I1297" s="8" t="s">
        <v>2853</v>
      </c>
      <c r="J1297" s="9">
        <v>1</v>
      </c>
      <c r="K1297" s="9">
        <v>780</v>
      </c>
      <c r="L1297" s="9">
        <v>2023</v>
      </c>
      <c r="M1297" s="8" t="s">
        <v>7048</v>
      </c>
      <c r="N1297" s="8" t="s">
        <v>40</v>
      </c>
      <c r="O1297" s="8" t="s">
        <v>41</v>
      </c>
      <c r="P1297" s="6" t="s">
        <v>95</v>
      </c>
      <c r="Q1297" s="8" t="s">
        <v>680</v>
      </c>
      <c r="R1297" s="10" t="s">
        <v>3183</v>
      </c>
      <c r="S1297" s="11" t="s">
        <v>2995</v>
      </c>
      <c r="T1297" s="6"/>
      <c r="U1297" s="28" t="str">
        <f>HYPERLINK("https://media.infra-m.ru/1911/1911121/cover/1911121.jpg", "Обложка")</f>
        <v>Обложка</v>
      </c>
      <c r="V1297" s="28" t="str">
        <f>HYPERLINK("https://znanium.com/catalog/product/1941768", "Ознакомиться")</f>
        <v>Ознакомиться</v>
      </c>
      <c r="W1297" s="8"/>
      <c r="X1297" s="6"/>
      <c r="Y1297" s="6"/>
      <c r="Z1297" s="6"/>
      <c r="AA1297" s="6" t="s">
        <v>5998</v>
      </c>
    </row>
    <row r="1298" spans="1:27" s="4" customFormat="1" ht="51.95" customHeight="1">
      <c r="A1298" s="5">
        <v>0</v>
      </c>
      <c r="B1298" s="6" t="s">
        <v>7049</v>
      </c>
      <c r="C1298" s="13">
        <v>2980</v>
      </c>
      <c r="D1298" s="8" t="s">
        <v>7050</v>
      </c>
      <c r="E1298" s="8" t="s">
        <v>7051</v>
      </c>
      <c r="F1298" s="8" t="s">
        <v>7047</v>
      </c>
      <c r="G1298" s="6" t="s">
        <v>58</v>
      </c>
      <c r="H1298" s="6" t="s">
        <v>52</v>
      </c>
      <c r="I1298" s="8" t="s">
        <v>2171</v>
      </c>
      <c r="J1298" s="9">
        <v>1</v>
      </c>
      <c r="K1298" s="9">
        <v>700</v>
      </c>
      <c r="L1298" s="9">
        <v>2023</v>
      </c>
      <c r="M1298" s="8" t="s">
        <v>7052</v>
      </c>
      <c r="N1298" s="8" t="s">
        <v>40</v>
      </c>
      <c r="O1298" s="8" t="s">
        <v>41</v>
      </c>
      <c r="P1298" s="6" t="s">
        <v>95</v>
      </c>
      <c r="Q1298" s="8" t="s">
        <v>96</v>
      </c>
      <c r="R1298" s="10" t="s">
        <v>3183</v>
      </c>
      <c r="S1298" s="11" t="s">
        <v>2995</v>
      </c>
      <c r="T1298" s="6"/>
      <c r="U1298" s="28" t="str">
        <f>HYPERLINK("https://media.infra-m.ru/1844/1844603/cover/1844603.jpg", "Обложка")</f>
        <v>Обложка</v>
      </c>
      <c r="V1298" s="12"/>
      <c r="W1298" s="8"/>
      <c r="X1298" s="6" t="s">
        <v>466</v>
      </c>
      <c r="Y1298" s="6"/>
      <c r="Z1298" s="6" t="s">
        <v>1113</v>
      </c>
      <c r="AA1298" s="6" t="s">
        <v>408</v>
      </c>
    </row>
    <row r="1299" spans="1:27" s="4" customFormat="1" ht="51.95" customHeight="1">
      <c r="A1299" s="5">
        <v>0</v>
      </c>
      <c r="B1299" s="6" t="s">
        <v>7053</v>
      </c>
      <c r="C1299" s="7">
        <v>734.9</v>
      </c>
      <c r="D1299" s="8" t="s">
        <v>7054</v>
      </c>
      <c r="E1299" s="8" t="s">
        <v>7055</v>
      </c>
      <c r="F1299" s="8" t="s">
        <v>7056</v>
      </c>
      <c r="G1299" s="6" t="s">
        <v>58</v>
      </c>
      <c r="H1299" s="6" t="s">
        <v>84</v>
      </c>
      <c r="I1299" s="8" t="s">
        <v>185</v>
      </c>
      <c r="J1299" s="9">
        <v>20</v>
      </c>
      <c r="K1299" s="9">
        <v>336</v>
      </c>
      <c r="L1299" s="9">
        <v>2016</v>
      </c>
      <c r="M1299" s="8" t="s">
        <v>7057</v>
      </c>
      <c r="N1299" s="8" t="s">
        <v>40</v>
      </c>
      <c r="O1299" s="8" t="s">
        <v>41</v>
      </c>
      <c r="P1299" s="6" t="s">
        <v>95</v>
      </c>
      <c r="Q1299" s="8" t="s">
        <v>76</v>
      </c>
      <c r="R1299" s="10" t="s">
        <v>6784</v>
      </c>
      <c r="S1299" s="11" t="s">
        <v>7058</v>
      </c>
      <c r="T1299" s="6"/>
      <c r="U1299" s="28" t="str">
        <f>HYPERLINK("https://media.infra-m.ru/0553/0553994/cover/553994.jpg", "Обложка")</f>
        <v>Обложка</v>
      </c>
      <c r="V1299" s="28" t="str">
        <f>HYPERLINK("https://znanium.com/catalog/product/1911123", "Ознакомиться")</f>
        <v>Ознакомиться</v>
      </c>
      <c r="W1299" s="8" t="s">
        <v>114</v>
      </c>
      <c r="X1299" s="6"/>
      <c r="Y1299" s="6"/>
      <c r="Z1299" s="6"/>
      <c r="AA1299" s="6" t="s">
        <v>327</v>
      </c>
    </row>
    <row r="1300" spans="1:27" s="4" customFormat="1" ht="51.95" customHeight="1">
      <c r="A1300" s="5">
        <v>0</v>
      </c>
      <c r="B1300" s="6" t="s">
        <v>7059</v>
      </c>
      <c r="C1300" s="13">
        <v>1600</v>
      </c>
      <c r="D1300" s="8" t="s">
        <v>7060</v>
      </c>
      <c r="E1300" s="8" t="s">
        <v>7061</v>
      </c>
      <c r="F1300" s="8" t="s">
        <v>7056</v>
      </c>
      <c r="G1300" s="6" t="s">
        <v>37</v>
      </c>
      <c r="H1300" s="6" t="s">
        <v>84</v>
      </c>
      <c r="I1300" s="8" t="s">
        <v>185</v>
      </c>
      <c r="J1300" s="9">
        <v>1</v>
      </c>
      <c r="K1300" s="9">
        <v>354</v>
      </c>
      <c r="L1300" s="9">
        <v>2023</v>
      </c>
      <c r="M1300" s="8" t="s">
        <v>7062</v>
      </c>
      <c r="N1300" s="8" t="s">
        <v>40</v>
      </c>
      <c r="O1300" s="8" t="s">
        <v>41</v>
      </c>
      <c r="P1300" s="6" t="s">
        <v>95</v>
      </c>
      <c r="Q1300" s="8" t="s">
        <v>76</v>
      </c>
      <c r="R1300" s="10" t="s">
        <v>6784</v>
      </c>
      <c r="S1300" s="11" t="s">
        <v>7063</v>
      </c>
      <c r="T1300" s="6" t="s">
        <v>368</v>
      </c>
      <c r="U1300" s="28" t="str">
        <f>HYPERLINK("https://media.infra-m.ru/1911/1911123/cover/1911123.jpg", "Обложка")</f>
        <v>Обложка</v>
      </c>
      <c r="V1300" s="28" t="str">
        <f>HYPERLINK("https://znanium.com/catalog/product/1911123", "Ознакомиться")</f>
        <v>Ознакомиться</v>
      </c>
      <c r="W1300" s="8" t="s">
        <v>114</v>
      </c>
      <c r="X1300" s="6"/>
      <c r="Y1300" s="6"/>
      <c r="Z1300" s="6"/>
      <c r="AA1300" s="6" t="s">
        <v>209</v>
      </c>
    </row>
    <row r="1301" spans="1:27" s="4" customFormat="1" ht="51.95" customHeight="1">
      <c r="A1301" s="5">
        <v>0</v>
      </c>
      <c r="B1301" s="6" t="s">
        <v>7064</v>
      </c>
      <c r="C1301" s="13">
        <v>1870</v>
      </c>
      <c r="D1301" s="8" t="s">
        <v>7065</v>
      </c>
      <c r="E1301" s="8" t="s">
        <v>7066</v>
      </c>
      <c r="F1301" s="8" t="s">
        <v>7067</v>
      </c>
      <c r="G1301" s="6" t="s">
        <v>37</v>
      </c>
      <c r="H1301" s="6" t="s">
        <v>84</v>
      </c>
      <c r="I1301" s="8" t="s">
        <v>185</v>
      </c>
      <c r="J1301" s="9">
        <v>1</v>
      </c>
      <c r="K1301" s="9">
        <v>407</v>
      </c>
      <c r="L1301" s="9">
        <v>2023</v>
      </c>
      <c r="M1301" s="8" t="s">
        <v>7068</v>
      </c>
      <c r="N1301" s="8" t="s">
        <v>40</v>
      </c>
      <c r="O1301" s="8" t="s">
        <v>41</v>
      </c>
      <c r="P1301" s="6" t="s">
        <v>95</v>
      </c>
      <c r="Q1301" s="8" t="s">
        <v>76</v>
      </c>
      <c r="R1301" s="10" t="s">
        <v>113</v>
      </c>
      <c r="S1301" s="11" t="s">
        <v>7069</v>
      </c>
      <c r="T1301" s="6"/>
      <c r="U1301" s="28" t="str">
        <f>HYPERLINK("https://media.infra-m.ru/1969/1969539/cover/1969539.jpg", "Обложка")</f>
        <v>Обложка</v>
      </c>
      <c r="V1301" s="28" t="str">
        <f>HYPERLINK("https://znanium.com/catalog/product/1969539", "Ознакомиться")</f>
        <v>Ознакомиться</v>
      </c>
      <c r="W1301" s="8" t="s">
        <v>114</v>
      </c>
      <c r="X1301" s="6"/>
      <c r="Y1301" s="6"/>
      <c r="Z1301" s="6"/>
      <c r="AA1301" s="6" t="s">
        <v>209</v>
      </c>
    </row>
    <row r="1302" spans="1:27" s="4" customFormat="1" ht="51.95" customHeight="1">
      <c r="A1302" s="5">
        <v>0</v>
      </c>
      <c r="B1302" s="6" t="s">
        <v>7070</v>
      </c>
      <c r="C1302" s="13">
        <v>2394.9</v>
      </c>
      <c r="D1302" s="8" t="s">
        <v>7071</v>
      </c>
      <c r="E1302" s="8" t="s">
        <v>7072</v>
      </c>
      <c r="F1302" s="8" t="s">
        <v>7073</v>
      </c>
      <c r="G1302" s="6" t="s">
        <v>37</v>
      </c>
      <c r="H1302" s="6" t="s">
        <v>84</v>
      </c>
      <c r="I1302" s="8" t="s">
        <v>185</v>
      </c>
      <c r="J1302" s="9">
        <v>1</v>
      </c>
      <c r="K1302" s="9">
        <v>532</v>
      </c>
      <c r="L1302" s="9">
        <v>2023</v>
      </c>
      <c r="M1302" s="8" t="s">
        <v>7074</v>
      </c>
      <c r="N1302" s="8" t="s">
        <v>40</v>
      </c>
      <c r="O1302" s="8" t="s">
        <v>41</v>
      </c>
      <c r="P1302" s="6" t="s">
        <v>95</v>
      </c>
      <c r="Q1302" s="8" t="s">
        <v>76</v>
      </c>
      <c r="R1302" s="10" t="s">
        <v>113</v>
      </c>
      <c r="S1302" s="11" t="s">
        <v>7075</v>
      </c>
      <c r="T1302" s="6"/>
      <c r="U1302" s="28" t="str">
        <f>HYPERLINK("https://media.infra-m.ru/1940/1940902/cover/1940902.jpg", "Обложка")</f>
        <v>Обложка</v>
      </c>
      <c r="V1302" s="28" t="str">
        <f>HYPERLINK("https://znanium.com/catalog/product/1918610", "Ознакомиться")</f>
        <v>Ознакомиться</v>
      </c>
      <c r="W1302" s="8" t="s">
        <v>783</v>
      </c>
      <c r="X1302" s="6"/>
      <c r="Y1302" s="6"/>
      <c r="Z1302" s="6"/>
      <c r="AA1302" s="6" t="s">
        <v>343</v>
      </c>
    </row>
    <row r="1303" spans="1:27" s="4" customFormat="1" ht="51.95" customHeight="1">
      <c r="A1303" s="5">
        <v>0</v>
      </c>
      <c r="B1303" s="6" t="s">
        <v>7076</v>
      </c>
      <c r="C1303" s="13">
        <v>2390</v>
      </c>
      <c r="D1303" s="8" t="s">
        <v>7077</v>
      </c>
      <c r="E1303" s="8" t="s">
        <v>7072</v>
      </c>
      <c r="F1303" s="8" t="s">
        <v>7073</v>
      </c>
      <c r="G1303" s="6" t="s">
        <v>37</v>
      </c>
      <c r="H1303" s="6" t="s">
        <v>84</v>
      </c>
      <c r="I1303" s="8" t="s">
        <v>93</v>
      </c>
      <c r="J1303" s="9">
        <v>1</v>
      </c>
      <c r="K1303" s="9">
        <v>532</v>
      </c>
      <c r="L1303" s="9">
        <v>2023</v>
      </c>
      <c r="M1303" s="8" t="s">
        <v>7078</v>
      </c>
      <c r="N1303" s="8" t="s">
        <v>40</v>
      </c>
      <c r="O1303" s="8" t="s">
        <v>41</v>
      </c>
      <c r="P1303" s="6" t="s">
        <v>95</v>
      </c>
      <c r="Q1303" s="8" t="s">
        <v>96</v>
      </c>
      <c r="R1303" s="10" t="s">
        <v>181</v>
      </c>
      <c r="S1303" s="11" t="s">
        <v>7079</v>
      </c>
      <c r="T1303" s="6"/>
      <c r="U1303" s="28" t="str">
        <f>HYPERLINK("https://media.infra-m.ru/1932/1932344/cover/1932344.jpg", "Обложка")</f>
        <v>Обложка</v>
      </c>
      <c r="V1303" s="28" t="str">
        <f>HYPERLINK("https://znanium.com/catalog/product/1932344", "Ознакомиться")</f>
        <v>Ознакомиться</v>
      </c>
      <c r="W1303" s="8" t="s">
        <v>783</v>
      </c>
      <c r="X1303" s="6"/>
      <c r="Y1303" s="6"/>
      <c r="Z1303" s="6" t="s">
        <v>136</v>
      </c>
      <c r="AA1303" s="6" t="s">
        <v>343</v>
      </c>
    </row>
    <row r="1304" spans="1:27" s="4" customFormat="1" ht="51.95" customHeight="1">
      <c r="A1304" s="5">
        <v>0</v>
      </c>
      <c r="B1304" s="6" t="s">
        <v>7080</v>
      </c>
      <c r="C1304" s="13">
        <v>2620</v>
      </c>
      <c r="D1304" s="8" t="s">
        <v>7081</v>
      </c>
      <c r="E1304" s="8" t="s">
        <v>7082</v>
      </c>
      <c r="F1304" s="8" t="s">
        <v>7083</v>
      </c>
      <c r="G1304" s="6" t="s">
        <v>58</v>
      </c>
      <c r="H1304" s="6" t="s">
        <v>84</v>
      </c>
      <c r="I1304" s="8" t="s">
        <v>93</v>
      </c>
      <c r="J1304" s="9">
        <v>1</v>
      </c>
      <c r="K1304" s="9">
        <v>583</v>
      </c>
      <c r="L1304" s="9">
        <v>2023</v>
      </c>
      <c r="M1304" s="8" t="s">
        <v>7084</v>
      </c>
      <c r="N1304" s="8" t="s">
        <v>40</v>
      </c>
      <c r="O1304" s="8" t="s">
        <v>41</v>
      </c>
      <c r="P1304" s="6" t="s">
        <v>95</v>
      </c>
      <c r="Q1304" s="8" t="s">
        <v>96</v>
      </c>
      <c r="R1304" s="10" t="s">
        <v>3094</v>
      </c>
      <c r="S1304" s="11" t="s">
        <v>7079</v>
      </c>
      <c r="T1304" s="6"/>
      <c r="U1304" s="28" t="str">
        <f>HYPERLINK("https://media.infra-m.ru/2008/2008689/cover/2008689.jpg", "Обложка")</f>
        <v>Обложка</v>
      </c>
      <c r="V1304" s="28" t="str">
        <f>HYPERLINK("https://znanium.com/catalog/product/2008689", "Ознакомиться")</f>
        <v>Ознакомиться</v>
      </c>
      <c r="W1304" s="8" t="s">
        <v>7085</v>
      </c>
      <c r="X1304" s="6" t="s">
        <v>1144</v>
      </c>
      <c r="Y1304" s="6"/>
      <c r="Z1304" s="6" t="s">
        <v>136</v>
      </c>
      <c r="AA1304" s="6" t="s">
        <v>408</v>
      </c>
    </row>
    <row r="1305" spans="1:27" s="4" customFormat="1" ht="51.95" customHeight="1">
      <c r="A1305" s="5">
        <v>0</v>
      </c>
      <c r="B1305" s="6" t="s">
        <v>7086</v>
      </c>
      <c r="C1305" s="13">
        <v>2630</v>
      </c>
      <c r="D1305" s="8" t="s">
        <v>7087</v>
      </c>
      <c r="E1305" s="8" t="s">
        <v>7082</v>
      </c>
      <c r="F1305" s="8" t="s">
        <v>7083</v>
      </c>
      <c r="G1305" s="6" t="s">
        <v>58</v>
      </c>
      <c r="H1305" s="6" t="s">
        <v>84</v>
      </c>
      <c r="I1305" s="8" t="s">
        <v>185</v>
      </c>
      <c r="J1305" s="9">
        <v>1</v>
      </c>
      <c r="K1305" s="9">
        <v>583</v>
      </c>
      <c r="L1305" s="9">
        <v>2023</v>
      </c>
      <c r="M1305" s="8" t="s">
        <v>7088</v>
      </c>
      <c r="N1305" s="8" t="s">
        <v>40</v>
      </c>
      <c r="O1305" s="8" t="s">
        <v>41</v>
      </c>
      <c r="P1305" s="6" t="s">
        <v>95</v>
      </c>
      <c r="Q1305" s="8" t="s">
        <v>76</v>
      </c>
      <c r="R1305" s="10" t="s">
        <v>3094</v>
      </c>
      <c r="S1305" s="11" t="s">
        <v>7075</v>
      </c>
      <c r="T1305" s="6"/>
      <c r="U1305" s="28" t="str">
        <f>HYPERLINK("https://media.infra-m.ru/1872/1872621/cover/1872621.jpg", "Обложка")</f>
        <v>Обложка</v>
      </c>
      <c r="V1305" s="28" t="str">
        <f>HYPERLINK("https://znanium.com/catalog/product/1872621", "Ознакомиться")</f>
        <v>Ознакомиться</v>
      </c>
      <c r="W1305" s="8" t="s">
        <v>7085</v>
      </c>
      <c r="X1305" s="6" t="s">
        <v>466</v>
      </c>
      <c r="Y1305" s="6"/>
      <c r="Z1305" s="6"/>
      <c r="AA1305" s="6" t="s">
        <v>408</v>
      </c>
    </row>
    <row r="1306" spans="1:27" s="4" customFormat="1" ht="51.95" customHeight="1">
      <c r="A1306" s="5">
        <v>0</v>
      </c>
      <c r="B1306" s="6" t="s">
        <v>7089</v>
      </c>
      <c r="C1306" s="7">
        <v>614.9</v>
      </c>
      <c r="D1306" s="8" t="s">
        <v>7090</v>
      </c>
      <c r="E1306" s="8" t="s">
        <v>7091</v>
      </c>
      <c r="F1306" s="8" t="s">
        <v>7092</v>
      </c>
      <c r="G1306" s="6" t="s">
        <v>51</v>
      </c>
      <c r="H1306" s="6" t="s">
        <v>84</v>
      </c>
      <c r="I1306" s="8" t="s">
        <v>185</v>
      </c>
      <c r="J1306" s="9">
        <v>1</v>
      </c>
      <c r="K1306" s="9">
        <v>162</v>
      </c>
      <c r="L1306" s="9">
        <v>2022</v>
      </c>
      <c r="M1306" s="8" t="s">
        <v>7093</v>
      </c>
      <c r="N1306" s="8" t="s">
        <v>40</v>
      </c>
      <c r="O1306" s="8" t="s">
        <v>41</v>
      </c>
      <c r="P1306" s="6" t="s">
        <v>75</v>
      </c>
      <c r="Q1306" s="8" t="s">
        <v>76</v>
      </c>
      <c r="R1306" s="10" t="s">
        <v>3183</v>
      </c>
      <c r="S1306" s="11" t="s">
        <v>2012</v>
      </c>
      <c r="T1306" s="6"/>
      <c r="U1306" s="28" t="str">
        <f>HYPERLINK("https://media.infra-m.ru/1862/1862614/cover/1862614.jpg", "Обложка")</f>
        <v>Обложка</v>
      </c>
      <c r="V1306" s="28" t="str">
        <f>HYPERLINK("https://znanium.com/catalog/product/1876367", "Ознакомиться")</f>
        <v>Ознакомиться</v>
      </c>
      <c r="W1306" s="8" t="s">
        <v>3184</v>
      </c>
      <c r="X1306" s="6"/>
      <c r="Y1306" s="6"/>
      <c r="Z1306" s="6"/>
      <c r="AA1306" s="6" t="s">
        <v>46</v>
      </c>
    </row>
    <row r="1307" spans="1:27" s="4" customFormat="1" ht="51.95" customHeight="1">
      <c r="A1307" s="5">
        <v>0</v>
      </c>
      <c r="B1307" s="6" t="s">
        <v>7094</v>
      </c>
      <c r="C1307" s="7">
        <v>760</v>
      </c>
      <c r="D1307" s="8" t="s">
        <v>7095</v>
      </c>
      <c r="E1307" s="8" t="s">
        <v>7096</v>
      </c>
      <c r="F1307" s="8" t="s">
        <v>7092</v>
      </c>
      <c r="G1307" s="6" t="s">
        <v>58</v>
      </c>
      <c r="H1307" s="6" t="s">
        <v>84</v>
      </c>
      <c r="I1307" s="8" t="s">
        <v>185</v>
      </c>
      <c r="J1307" s="9">
        <v>1</v>
      </c>
      <c r="K1307" s="9">
        <v>165</v>
      </c>
      <c r="L1307" s="9">
        <v>2023</v>
      </c>
      <c r="M1307" s="8" t="s">
        <v>7097</v>
      </c>
      <c r="N1307" s="8" t="s">
        <v>40</v>
      </c>
      <c r="O1307" s="8" t="s">
        <v>41</v>
      </c>
      <c r="P1307" s="6" t="s">
        <v>75</v>
      </c>
      <c r="Q1307" s="8" t="s">
        <v>76</v>
      </c>
      <c r="R1307" s="10" t="s">
        <v>3183</v>
      </c>
      <c r="S1307" s="11" t="s">
        <v>7098</v>
      </c>
      <c r="T1307" s="6"/>
      <c r="U1307" s="28" t="str">
        <f>HYPERLINK("https://media.infra-m.ru/1876/1876367/cover/1876367.jpg", "Обложка")</f>
        <v>Обложка</v>
      </c>
      <c r="V1307" s="28" t="str">
        <f>HYPERLINK("https://znanium.com/catalog/product/1876367", "Ознакомиться")</f>
        <v>Ознакомиться</v>
      </c>
      <c r="W1307" s="8" t="s">
        <v>3184</v>
      </c>
      <c r="X1307" s="6" t="s">
        <v>466</v>
      </c>
      <c r="Y1307" s="6"/>
      <c r="Z1307" s="6"/>
      <c r="AA1307" s="6" t="s">
        <v>137</v>
      </c>
    </row>
    <row r="1308" spans="1:27" s="4" customFormat="1" ht="51.95" customHeight="1">
      <c r="A1308" s="5">
        <v>0</v>
      </c>
      <c r="B1308" s="6" t="s">
        <v>7099</v>
      </c>
      <c r="C1308" s="13">
        <v>1051.9000000000001</v>
      </c>
      <c r="D1308" s="8" t="s">
        <v>7100</v>
      </c>
      <c r="E1308" s="8" t="s">
        <v>7101</v>
      </c>
      <c r="F1308" s="8" t="s">
        <v>7102</v>
      </c>
      <c r="G1308" s="6" t="s">
        <v>58</v>
      </c>
      <c r="H1308" s="6" t="s">
        <v>38</v>
      </c>
      <c r="I1308" s="8"/>
      <c r="J1308" s="9">
        <v>1</v>
      </c>
      <c r="K1308" s="9">
        <v>336</v>
      </c>
      <c r="L1308" s="9">
        <v>2017</v>
      </c>
      <c r="M1308" s="8" t="s">
        <v>7103</v>
      </c>
      <c r="N1308" s="8" t="s">
        <v>40</v>
      </c>
      <c r="O1308" s="8" t="s">
        <v>41</v>
      </c>
      <c r="P1308" s="6" t="s">
        <v>42</v>
      </c>
      <c r="Q1308" s="8" t="s">
        <v>43</v>
      </c>
      <c r="R1308" s="10" t="s">
        <v>7104</v>
      </c>
      <c r="S1308" s="11"/>
      <c r="T1308" s="6"/>
      <c r="U1308" s="28" t="str">
        <f>HYPERLINK("https://media.infra-m.ru/0814/0814381/cover/814381.jpg", "Обложка")</f>
        <v>Обложка</v>
      </c>
      <c r="V1308" s="28" t="str">
        <f>HYPERLINK("https://znanium.com/catalog/product/814381", "Ознакомиться")</f>
        <v>Ознакомиться</v>
      </c>
      <c r="W1308" s="8" t="s">
        <v>7105</v>
      </c>
      <c r="X1308" s="6"/>
      <c r="Y1308" s="6"/>
      <c r="Z1308" s="6"/>
      <c r="AA1308" s="6" t="s">
        <v>88</v>
      </c>
    </row>
    <row r="1309" spans="1:27" s="4" customFormat="1" ht="42" customHeight="1">
      <c r="A1309" s="5">
        <v>0</v>
      </c>
      <c r="B1309" s="6" t="s">
        <v>7106</v>
      </c>
      <c r="C1309" s="13">
        <v>1374</v>
      </c>
      <c r="D1309" s="8" t="s">
        <v>7107</v>
      </c>
      <c r="E1309" s="8" t="s">
        <v>7108</v>
      </c>
      <c r="F1309" s="8" t="s">
        <v>7109</v>
      </c>
      <c r="G1309" s="6" t="s">
        <v>58</v>
      </c>
      <c r="H1309" s="6" t="s">
        <v>38</v>
      </c>
      <c r="I1309" s="8"/>
      <c r="J1309" s="9">
        <v>1</v>
      </c>
      <c r="K1309" s="9">
        <v>288</v>
      </c>
      <c r="L1309" s="9">
        <v>2024</v>
      </c>
      <c r="M1309" s="8" t="s">
        <v>7110</v>
      </c>
      <c r="N1309" s="8" t="s">
        <v>40</v>
      </c>
      <c r="O1309" s="8" t="s">
        <v>41</v>
      </c>
      <c r="P1309" s="6" t="s">
        <v>42</v>
      </c>
      <c r="Q1309" s="8" t="s">
        <v>43</v>
      </c>
      <c r="R1309" s="10" t="s">
        <v>5100</v>
      </c>
      <c r="S1309" s="11"/>
      <c r="T1309" s="6"/>
      <c r="U1309" s="28" t="str">
        <f>HYPERLINK("https://media.infra-m.ru/2116/2116944/cover/2116944.jpg", "Обложка")</f>
        <v>Обложка</v>
      </c>
      <c r="V1309" s="28" t="str">
        <f>HYPERLINK("https://znanium.com/catalog/product/1893198", "Ознакомиться")</f>
        <v>Ознакомиться</v>
      </c>
      <c r="W1309" s="8" t="s">
        <v>114</v>
      </c>
      <c r="X1309" s="6"/>
      <c r="Y1309" s="6"/>
      <c r="Z1309" s="6"/>
      <c r="AA1309" s="6" t="s">
        <v>343</v>
      </c>
    </row>
    <row r="1310" spans="1:27" s="4" customFormat="1" ht="44.1" customHeight="1">
      <c r="A1310" s="5">
        <v>0</v>
      </c>
      <c r="B1310" s="6" t="s">
        <v>7111</v>
      </c>
      <c r="C1310" s="7">
        <v>894.9</v>
      </c>
      <c r="D1310" s="8" t="s">
        <v>7112</v>
      </c>
      <c r="E1310" s="8" t="s">
        <v>7113</v>
      </c>
      <c r="F1310" s="8" t="s">
        <v>5265</v>
      </c>
      <c r="G1310" s="6" t="s">
        <v>58</v>
      </c>
      <c r="H1310" s="6" t="s">
        <v>52</v>
      </c>
      <c r="I1310" s="8" t="s">
        <v>185</v>
      </c>
      <c r="J1310" s="9">
        <v>1</v>
      </c>
      <c r="K1310" s="9">
        <v>280</v>
      </c>
      <c r="L1310" s="9">
        <v>2018</v>
      </c>
      <c r="M1310" s="8" t="s">
        <v>7114</v>
      </c>
      <c r="N1310" s="8" t="s">
        <v>40</v>
      </c>
      <c r="O1310" s="8" t="s">
        <v>41</v>
      </c>
      <c r="P1310" s="6" t="s">
        <v>75</v>
      </c>
      <c r="Q1310" s="8" t="s">
        <v>76</v>
      </c>
      <c r="R1310" s="10" t="s">
        <v>7115</v>
      </c>
      <c r="S1310" s="11"/>
      <c r="T1310" s="6"/>
      <c r="U1310" s="28" t="str">
        <f>HYPERLINK("https://media.infra-m.ru/0938/0938042/cover/938042.jpg", "Обложка")</f>
        <v>Обложка</v>
      </c>
      <c r="V1310" s="28" t="str">
        <f>HYPERLINK("https://znanium.com/catalog/product/938042", "Ознакомиться")</f>
        <v>Ознакомиться</v>
      </c>
      <c r="W1310" s="8"/>
      <c r="X1310" s="6"/>
      <c r="Y1310" s="6"/>
      <c r="Z1310" s="6"/>
      <c r="AA1310" s="6" t="s">
        <v>88</v>
      </c>
    </row>
    <row r="1311" spans="1:27" s="4" customFormat="1" ht="51.95" customHeight="1">
      <c r="A1311" s="5">
        <v>0</v>
      </c>
      <c r="B1311" s="6" t="s">
        <v>7116</v>
      </c>
      <c r="C1311" s="13">
        <v>2140</v>
      </c>
      <c r="D1311" s="8" t="s">
        <v>7117</v>
      </c>
      <c r="E1311" s="8" t="s">
        <v>7118</v>
      </c>
      <c r="F1311" s="8" t="s">
        <v>7119</v>
      </c>
      <c r="G1311" s="6" t="s">
        <v>58</v>
      </c>
      <c r="H1311" s="6" t="s">
        <v>38</v>
      </c>
      <c r="I1311" s="8"/>
      <c r="J1311" s="9">
        <v>1</v>
      </c>
      <c r="K1311" s="9">
        <v>464</v>
      </c>
      <c r="L1311" s="9">
        <v>2023</v>
      </c>
      <c r="M1311" s="8" t="s">
        <v>7120</v>
      </c>
      <c r="N1311" s="8" t="s">
        <v>40</v>
      </c>
      <c r="O1311" s="8" t="s">
        <v>41</v>
      </c>
      <c r="P1311" s="6" t="s">
        <v>95</v>
      </c>
      <c r="Q1311" s="8" t="s">
        <v>76</v>
      </c>
      <c r="R1311" s="10" t="s">
        <v>235</v>
      </c>
      <c r="S1311" s="11" t="s">
        <v>7121</v>
      </c>
      <c r="T1311" s="6"/>
      <c r="U1311" s="28" t="str">
        <f>HYPERLINK("https://media.infra-m.ru/2063/2063340/cover/2063340.jpg", "Обложка")</f>
        <v>Обложка</v>
      </c>
      <c r="V1311" s="28" t="str">
        <f>HYPERLINK("https://znanium.com/catalog/product/1981563", "Ознакомиться")</f>
        <v>Ознакомиться</v>
      </c>
      <c r="W1311" s="8" t="s">
        <v>414</v>
      </c>
      <c r="X1311" s="6"/>
      <c r="Y1311" s="6"/>
      <c r="Z1311" s="6"/>
      <c r="AA1311" s="6" t="s">
        <v>4432</v>
      </c>
    </row>
    <row r="1312" spans="1:27" s="4" customFormat="1" ht="51.95" customHeight="1">
      <c r="A1312" s="5">
        <v>0</v>
      </c>
      <c r="B1312" s="6" t="s">
        <v>7122</v>
      </c>
      <c r="C1312" s="13">
        <v>1950</v>
      </c>
      <c r="D1312" s="8" t="s">
        <v>7123</v>
      </c>
      <c r="E1312" s="8" t="s">
        <v>7124</v>
      </c>
      <c r="F1312" s="8" t="s">
        <v>7119</v>
      </c>
      <c r="G1312" s="6" t="s">
        <v>37</v>
      </c>
      <c r="H1312" s="6" t="s">
        <v>38</v>
      </c>
      <c r="I1312" s="8"/>
      <c r="J1312" s="9">
        <v>1</v>
      </c>
      <c r="K1312" s="9">
        <v>432</v>
      </c>
      <c r="L1312" s="9">
        <v>2023</v>
      </c>
      <c r="M1312" s="8" t="s">
        <v>7125</v>
      </c>
      <c r="N1312" s="8" t="s">
        <v>40</v>
      </c>
      <c r="O1312" s="8" t="s">
        <v>41</v>
      </c>
      <c r="P1312" s="6" t="s">
        <v>95</v>
      </c>
      <c r="Q1312" s="8" t="s">
        <v>76</v>
      </c>
      <c r="R1312" s="10" t="s">
        <v>235</v>
      </c>
      <c r="S1312" s="11" t="s">
        <v>7121</v>
      </c>
      <c r="T1312" s="6"/>
      <c r="U1312" s="28" t="str">
        <f>HYPERLINK("https://media.infra-m.ru/1910/1910763/cover/1910763.jpg", "Обложка")</f>
        <v>Обложка</v>
      </c>
      <c r="V1312" s="28" t="str">
        <f>HYPERLINK("https://znanium.com/catalog/product/1981563", "Ознакомиться")</f>
        <v>Ознакомиться</v>
      </c>
      <c r="W1312" s="8" t="s">
        <v>414</v>
      </c>
      <c r="X1312" s="6"/>
      <c r="Y1312" s="6"/>
      <c r="Z1312" s="6"/>
      <c r="AA1312" s="6" t="s">
        <v>2424</v>
      </c>
    </row>
    <row r="1313" spans="1:27" s="4" customFormat="1" ht="51.95" customHeight="1">
      <c r="A1313" s="5">
        <v>0</v>
      </c>
      <c r="B1313" s="6" t="s">
        <v>7126</v>
      </c>
      <c r="C1313" s="7">
        <v>894.9</v>
      </c>
      <c r="D1313" s="8" t="s">
        <v>7127</v>
      </c>
      <c r="E1313" s="8" t="s">
        <v>7128</v>
      </c>
      <c r="F1313" s="8" t="s">
        <v>7129</v>
      </c>
      <c r="G1313" s="6" t="s">
        <v>58</v>
      </c>
      <c r="H1313" s="6" t="s">
        <v>38</v>
      </c>
      <c r="I1313" s="8"/>
      <c r="J1313" s="9">
        <v>1</v>
      </c>
      <c r="K1313" s="9">
        <v>448</v>
      </c>
      <c r="L1313" s="9">
        <v>2016</v>
      </c>
      <c r="M1313" s="8" t="s">
        <v>7130</v>
      </c>
      <c r="N1313" s="8" t="s">
        <v>40</v>
      </c>
      <c r="O1313" s="8" t="s">
        <v>41</v>
      </c>
      <c r="P1313" s="6" t="s">
        <v>95</v>
      </c>
      <c r="Q1313" s="8" t="s">
        <v>76</v>
      </c>
      <c r="R1313" s="10" t="s">
        <v>235</v>
      </c>
      <c r="S1313" s="11" t="s">
        <v>7121</v>
      </c>
      <c r="T1313" s="6"/>
      <c r="U1313" s="12"/>
      <c r="V1313" s="28" t="str">
        <f>HYPERLINK("https://znanium.com/catalog/product/1981563", "Ознакомиться")</f>
        <v>Ознакомиться</v>
      </c>
      <c r="W1313" s="8" t="s">
        <v>414</v>
      </c>
      <c r="X1313" s="6"/>
      <c r="Y1313" s="6"/>
      <c r="Z1313" s="6"/>
      <c r="AA1313" s="6" t="s">
        <v>7131</v>
      </c>
    </row>
    <row r="1314" spans="1:27" s="4" customFormat="1" ht="51.95" customHeight="1">
      <c r="A1314" s="5">
        <v>0</v>
      </c>
      <c r="B1314" s="6" t="s">
        <v>7132</v>
      </c>
      <c r="C1314" s="7">
        <v>894.9</v>
      </c>
      <c r="D1314" s="8" t="s">
        <v>7133</v>
      </c>
      <c r="E1314" s="8" t="s">
        <v>7134</v>
      </c>
      <c r="F1314" s="8" t="s">
        <v>7135</v>
      </c>
      <c r="G1314" s="6" t="s">
        <v>1726</v>
      </c>
      <c r="H1314" s="6" t="s">
        <v>272</v>
      </c>
      <c r="I1314" s="8"/>
      <c r="J1314" s="9">
        <v>1</v>
      </c>
      <c r="K1314" s="9">
        <v>496</v>
      </c>
      <c r="L1314" s="9">
        <v>2016</v>
      </c>
      <c r="M1314" s="8" t="s">
        <v>7136</v>
      </c>
      <c r="N1314" s="8" t="s">
        <v>40</v>
      </c>
      <c r="O1314" s="8" t="s">
        <v>41</v>
      </c>
      <c r="P1314" s="6" t="s">
        <v>75</v>
      </c>
      <c r="Q1314" s="8" t="s">
        <v>76</v>
      </c>
      <c r="R1314" s="10" t="s">
        <v>7115</v>
      </c>
      <c r="S1314" s="11" t="s">
        <v>7137</v>
      </c>
      <c r="T1314" s="6"/>
      <c r="U1314" s="28" t="str">
        <f>HYPERLINK("https://media.infra-m.ru/0520/0520340/cover/520340.jpg", "Обложка")</f>
        <v>Обложка</v>
      </c>
      <c r="V1314" s="28" t="str">
        <f>HYPERLINK("https://znanium.com/catalog/product/1850670", "Ознакомиться")</f>
        <v>Ознакомиться</v>
      </c>
      <c r="W1314" s="8" t="s">
        <v>195</v>
      </c>
      <c r="X1314" s="6"/>
      <c r="Y1314" s="6"/>
      <c r="Z1314" s="6"/>
      <c r="AA1314" s="6" t="s">
        <v>422</v>
      </c>
    </row>
    <row r="1315" spans="1:27" s="4" customFormat="1" ht="51.95" customHeight="1">
      <c r="A1315" s="5">
        <v>0</v>
      </c>
      <c r="B1315" s="6" t="s">
        <v>7138</v>
      </c>
      <c r="C1315" s="13">
        <v>2344</v>
      </c>
      <c r="D1315" s="8" t="s">
        <v>7139</v>
      </c>
      <c r="E1315" s="8" t="s">
        <v>7140</v>
      </c>
      <c r="F1315" s="8" t="s">
        <v>4551</v>
      </c>
      <c r="G1315" s="6" t="s">
        <v>58</v>
      </c>
      <c r="H1315" s="6" t="s">
        <v>84</v>
      </c>
      <c r="I1315" s="8" t="s">
        <v>185</v>
      </c>
      <c r="J1315" s="9">
        <v>1</v>
      </c>
      <c r="K1315" s="9">
        <v>667</v>
      </c>
      <c r="L1315" s="9">
        <v>2024</v>
      </c>
      <c r="M1315" s="8" t="s">
        <v>7141</v>
      </c>
      <c r="N1315" s="8" t="s">
        <v>40</v>
      </c>
      <c r="O1315" s="8" t="s">
        <v>41</v>
      </c>
      <c r="P1315" s="6" t="s">
        <v>75</v>
      </c>
      <c r="Q1315" s="8" t="s">
        <v>76</v>
      </c>
      <c r="R1315" s="10" t="s">
        <v>7115</v>
      </c>
      <c r="S1315" s="11" t="s">
        <v>7142</v>
      </c>
      <c r="T1315" s="6"/>
      <c r="U1315" s="28" t="str">
        <f>HYPERLINK("https://media.infra-m.ru/2085/2085053/cover/2085053.jpg", "Обложка")</f>
        <v>Обложка</v>
      </c>
      <c r="V1315" s="28" t="str">
        <f>HYPERLINK("https://znanium.com/catalog/product/1850670", "Ознакомиться")</f>
        <v>Ознакомиться</v>
      </c>
      <c r="W1315" s="8" t="s">
        <v>195</v>
      </c>
      <c r="X1315" s="6"/>
      <c r="Y1315" s="6"/>
      <c r="Z1315" s="6"/>
      <c r="AA1315" s="6" t="s">
        <v>739</v>
      </c>
    </row>
    <row r="1316" spans="1:27" s="4" customFormat="1" ht="51.95" customHeight="1">
      <c r="A1316" s="5">
        <v>0</v>
      </c>
      <c r="B1316" s="6" t="s">
        <v>7143</v>
      </c>
      <c r="C1316" s="13">
        <v>1750</v>
      </c>
      <c r="D1316" s="8" t="s">
        <v>7144</v>
      </c>
      <c r="E1316" s="8" t="s">
        <v>7113</v>
      </c>
      <c r="F1316" s="8" t="s">
        <v>7145</v>
      </c>
      <c r="G1316" s="6" t="s">
        <v>37</v>
      </c>
      <c r="H1316" s="6" t="s">
        <v>84</v>
      </c>
      <c r="I1316" s="8" t="s">
        <v>93</v>
      </c>
      <c r="J1316" s="9">
        <v>1</v>
      </c>
      <c r="K1316" s="9">
        <v>380</v>
      </c>
      <c r="L1316" s="9">
        <v>2024</v>
      </c>
      <c r="M1316" s="8" t="s">
        <v>7146</v>
      </c>
      <c r="N1316" s="8" t="s">
        <v>40</v>
      </c>
      <c r="O1316" s="8" t="s">
        <v>41</v>
      </c>
      <c r="P1316" s="6" t="s">
        <v>95</v>
      </c>
      <c r="Q1316" s="8" t="s">
        <v>96</v>
      </c>
      <c r="R1316" s="10" t="s">
        <v>77</v>
      </c>
      <c r="S1316" s="11" t="s">
        <v>7147</v>
      </c>
      <c r="T1316" s="6"/>
      <c r="U1316" s="28" t="str">
        <f>HYPERLINK("https://media.infra-m.ru/2083/2083090/cover/2083090.jpg", "Обложка")</f>
        <v>Обложка</v>
      </c>
      <c r="V1316" s="28" t="str">
        <f>HYPERLINK("https://znanium.com/catalog/product/2083090", "Ознакомиться")</f>
        <v>Ознакомиться</v>
      </c>
      <c r="W1316" s="8" t="s">
        <v>7148</v>
      </c>
      <c r="X1316" s="6"/>
      <c r="Y1316" s="6"/>
      <c r="Z1316" s="6" t="s">
        <v>1113</v>
      </c>
      <c r="AA1316" s="6" t="s">
        <v>343</v>
      </c>
    </row>
    <row r="1317" spans="1:27" s="4" customFormat="1" ht="51.95" customHeight="1">
      <c r="A1317" s="5">
        <v>0</v>
      </c>
      <c r="B1317" s="6" t="s">
        <v>7149</v>
      </c>
      <c r="C1317" s="13">
        <v>1750</v>
      </c>
      <c r="D1317" s="8" t="s">
        <v>7150</v>
      </c>
      <c r="E1317" s="8" t="s">
        <v>7113</v>
      </c>
      <c r="F1317" s="8" t="s">
        <v>7145</v>
      </c>
      <c r="G1317" s="6" t="s">
        <v>37</v>
      </c>
      <c r="H1317" s="6" t="s">
        <v>84</v>
      </c>
      <c r="I1317" s="8" t="s">
        <v>120</v>
      </c>
      <c r="J1317" s="9">
        <v>1</v>
      </c>
      <c r="K1317" s="9">
        <v>380</v>
      </c>
      <c r="L1317" s="9">
        <v>2024</v>
      </c>
      <c r="M1317" s="8" t="s">
        <v>7151</v>
      </c>
      <c r="N1317" s="8" t="s">
        <v>40</v>
      </c>
      <c r="O1317" s="8" t="s">
        <v>41</v>
      </c>
      <c r="P1317" s="6" t="s">
        <v>95</v>
      </c>
      <c r="Q1317" s="8" t="s">
        <v>680</v>
      </c>
      <c r="R1317" s="10" t="s">
        <v>77</v>
      </c>
      <c r="S1317" s="11" t="s">
        <v>1216</v>
      </c>
      <c r="T1317" s="6"/>
      <c r="U1317" s="28" t="str">
        <f>HYPERLINK("https://media.infra-m.ru/2018/2018259/cover/2018259.jpg", "Обложка")</f>
        <v>Обложка</v>
      </c>
      <c r="V1317" s="28" t="str">
        <f>HYPERLINK("https://znanium.com/catalog/product/2018259", "Ознакомиться")</f>
        <v>Ознакомиться</v>
      </c>
      <c r="W1317" s="8" t="s">
        <v>7148</v>
      </c>
      <c r="X1317" s="6"/>
      <c r="Y1317" s="6"/>
      <c r="Z1317" s="6"/>
      <c r="AA1317" s="6" t="s">
        <v>79</v>
      </c>
    </row>
    <row r="1318" spans="1:27" s="4" customFormat="1" ht="51.95" customHeight="1">
      <c r="A1318" s="5">
        <v>0</v>
      </c>
      <c r="B1318" s="6" t="s">
        <v>7152</v>
      </c>
      <c r="C1318" s="13">
        <v>1514.9</v>
      </c>
      <c r="D1318" s="8" t="s">
        <v>7153</v>
      </c>
      <c r="E1318" s="8" t="s">
        <v>7113</v>
      </c>
      <c r="F1318" s="8" t="s">
        <v>7154</v>
      </c>
      <c r="G1318" s="6" t="s">
        <v>58</v>
      </c>
      <c r="H1318" s="6" t="s">
        <v>38</v>
      </c>
      <c r="I1318" s="8"/>
      <c r="J1318" s="9">
        <v>1</v>
      </c>
      <c r="K1318" s="9">
        <v>336</v>
      </c>
      <c r="L1318" s="9">
        <v>2023</v>
      </c>
      <c r="M1318" s="8" t="s">
        <v>7155</v>
      </c>
      <c r="N1318" s="8" t="s">
        <v>40</v>
      </c>
      <c r="O1318" s="8" t="s">
        <v>41</v>
      </c>
      <c r="P1318" s="6" t="s">
        <v>95</v>
      </c>
      <c r="Q1318" s="8" t="s">
        <v>2084</v>
      </c>
      <c r="R1318" s="10" t="s">
        <v>7156</v>
      </c>
      <c r="S1318" s="11"/>
      <c r="T1318" s="6"/>
      <c r="U1318" s="28" t="str">
        <f>HYPERLINK("https://media.infra-m.ru/2006/2006100/cover/2006100.jpg", "Обложка")</f>
        <v>Обложка</v>
      </c>
      <c r="V1318" s="28" t="str">
        <f>HYPERLINK("https://znanium.com/catalog/product/1038303", "Ознакомиться")</f>
        <v>Ознакомиться</v>
      </c>
      <c r="W1318" s="8"/>
      <c r="X1318" s="6"/>
      <c r="Y1318" s="6"/>
      <c r="Z1318" s="6"/>
      <c r="AA1318" s="6" t="s">
        <v>148</v>
      </c>
    </row>
    <row r="1319" spans="1:27" s="4" customFormat="1" ht="51.95" customHeight="1">
      <c r="A1319" s="5">
        <v>0</v>
      </c>
      <c r="B1319" s="6" t="s">
        <v>7157</v>
      </c>
      <c r="C1319" s="7">
        <v>870</v>
      </c>
      <c r="D1319" s="8" t="s">
        <v>7158</v>
      </c>
      <c r="E1319" s="8" t="s">
        <v>7159</v>
      </c>
      <c r="F1319" s="8" t="s">
        <v>7033</v>
      </c>
      <c r="G1319" s="6" t="s">
        <v>37</v>
      </c>
      <c r="H1319" s="6" t="s">
        <v>84</v>
      </c>
      <c r="I1319" s="8" t="s">
        <v>316</v>
      </c>
      <c r="J1319" s="9">
        <v>1</v>
      </c>
      <c r="K1319" s="9">
        <v>188</v>
      </c>
      <c r="L1319" s="9">
        <v>2023</v>
      </c>
      <c r="M1319" s="8" t="s">
        <v>7160</v>
      </c>
      <c r="N1319" s="8" t="s">
        <v>40</v>
      </c>
      <c r="O1319" s="8" t="s">
        <v>41</v>
      </c>
      <c r="P1319" s="6" t="s">
        <v>75</v>
      </c>
      <c r="Q1319" s="8" t="s">
        <v>157</v>
      </c>
      <c r="R1319" s="10" t="s">
        <v>558</v>
      </c>
      <c r="S1319" s="11"/>
      <c r="T1319" s="6"/>
      <c r="U1319" s="28" t="str">
        <f>HYPERLINK("https://media.infra-m.ru/1993/1993603/cover/1993603.jpg", "Обложка")</f>
        <v>Обложка</v>
      </c>
      <c r="V1319" s="28" t="str">
        <f>HYPERLINK("https://znanium.com/catalog/product/1993603", "Ознакомиться")</f>
        <v>Ознакомиться</v>
      </c>
      <c r="W1319" s="8" t="s">
        <v>3206</v>
      </c>
      <c r="X1319" s="6"/>
      <c r="Y1319" s="6"/>
      <c r="Z1319" s="6"/>
      <c r="AA1319" s="6" t="s">
        <v>836</v>
      </c>
    </row>
    <row r="1320" spans="1:27" s="4" customFormat="1" ht="51.95" customHeight="1">
      <c r="A1320" s="5">
        <v>0</v>
      </c>
      <c r="B1320" s="6" t="s">
        <v>7161</v>
      </c>
      <c r="C1320" s="7">
        <v>320</v>
      </c>
      <c r="D1320" s="8" t="s">
        <v>7162</v>
      </c>
      <c r="E1320" s="8" t="s">
        <v>7163</v>
      </c>
      <c r="F1320" s="8" t="s">
        <v>7033</v>
      </c>
      <c r="G1320" s="6" t="s">
        <v>51</v>
      </c>
      <c r="H1320" s="6" t="s">
        <v>84</v>
      </c>
      <c r="I1320" s="8" t="s">
        <v>316</v>
      </c>
      <c r="J1320" s="9">
        <v>1</v>
      </c>
      <c r="K1320" s="9">
        <v>115</v>
      </c>
      <c r="L1320" s="9">
        <v>2018</v>
      </c>
      <c r="M1320" s="8" t="s">
        <v>7164</v>
      </c>
      <c r="N1320" s="8" t="s">
        <v>40</v>
      </c>
      <c r="O1320" s="8" t="s">
        <v>41</v>
      </c>
      <c r="P1320" s="6" t="s">
        <v>75</v>
      </c>
      <c r="Q1320" s="8" t="s">
        <v>157</v>
      </c>
      <c r="R1320" s="10" t="s">
        <v>558</v>
      </c>
      <c r="S1320" s="11" t="s">
        <v>3190</v>
      </c>
      <c r="T1320" s="6"/>
      <c r="U1320" s="28" t="str">
        <f>HYPERLINK("https://media.infra-m.ru/0951/0951294/cover/951294.jpg", "Обложка")</f>
        <v>Обложка</v>
      </c>
      <c r="V1320" s="28" t="str">
        <f>HYPERLINK("https://znanium.com/catalog/product/1993603", "Ознакомиться")</f>
        <v>Ознакомиться</v>
      </c>
      <c r="W1320" s="8" t="s">
        <v>3206</v>
      </c>
      <c r="X1320" s="6"/>
      <c r="Y1320" s="6"/>
      <c r="Z1320" s="6"/>
      <c r="AA1320" s="6" t="s">
        <v>148</v>
      </c>
    </row>
    <row r="1321" spans="1:27" s="4" customFormat="1" ht="51.95" customHeight="1">
      <c r="A1321" s="5">
        <v>0</v>
      </c>
      <c r="B1321" s="6" t="s">
        <v>7165</v>
      </c>
      <c r="C1321" s="7">
        <v>830</v>
      </c>
      <c r="D1321" s="8" t="s">
        <v>7166</v>
      </c>
      <c r="E1321" s="8" t="s">
        <v>7167</v>
      </c>
      <c r="F1321" s="8" t="s">
        <v>7168</v>
      </c>
      <c r="G1321" s="6" t="s">
        <v>58</v>
      </c>
      <c r="H1321" s="6" t="s">
        <v>84</v>
      </c>
      <c r="I1321" s="8" t="s">
        <v>1140</v>
      </c>
      <c r="J1321" s="9">
        <v>1</v>
      </c>
      <c r="K1321" s="9">
        <v>169</v>
      </c>
      <c r="L1321" s="9">
        <v>2022</v>
      </c>
      <c r="M1321" s="8" t="s">
        <v>7169</v>
      </c>
      <c r="N1321" s="8" t="s">
        <v>40</v>
      </c>
      <c r="O1321" s="8" t="s">
        <v>41</v>
      </c>
      <c r="P1321" s="6" t="s">
        <v>75</v>
      </c>
      <c r="Q1321" s="8" t="s">
        <v>1199</v>
      </c>
      <c r="R1321" s="10" t="s">
        <v>253</v>
      </c>
      <c r="S1321" s="11" t="s">
        <v>7170</v>
      </c>
      <c r="T1321" s="6"/>
      <c r="U1321" s="28" t="str">
        <f>HYPERLINK("https://media.infra-m.ru/1242/1242222/cover/1242222.jpg", "Обложка")</f>
        <v>Обложка</v>
      </c>
      <c r="V1321" s="28" t="str">
        <f>HYPERLINK("https://znanium.com/catalog/product/1242222", "Ознакомиться")</f>
        <v>Ознакомиться</v>
      </c>
      <c r="W1321" s="8" t="s">
        <v>503</v>
      </c>
      <c r="X1321" s="6"/>
      <c r="Y1321" s="6"/>
      <c r="Z1321" s="6"/>
      <c r="AA1321" s="6" t="s">
        <v>343</v>
      </c>
    </row>
    <row r="1322" spans="1:27" s="4" customFormat="1" ht="51.95" customHeight="1">
      <c r="A1322" s="5">
        <v>0</v>
      </c>
      <c r="B1322" s="6" t="s">
        <v>7171</v>
      </c>
      <c r="C1322" s="13">
        <v>1294.9000000000001</v>
      </c>
      <c r="D1322" s="8" t="s">
        <v>7172</v>
      </c>
      <c r="E1322" s="8" t="s">
        <v>7173</v>
      </c>
      <c r="F1322" s="8" t="s">
        <v>7174</v>
      </c>
      <c r="G1322" s="6" t="s">
        <v>58</v>
      </c>
      <c r="H1322" s="6" t="s">
        <v>38</v>
      </c>
      <c r="I1322" s="8"/>
      <c r="J1322" s="9">
        <v>1</v>
      </c>
      <c r="K1322" s="9">
        <v>288</v>
      </c>
      <c r="L1322" s="9">
        <v>2022</v>
      </c>
      <c r="M1322" s="8" t="s">
        <v>7175</v>
      </c>
      <c r="N1322" s="8" t="s">
        <v>40</v>
      </c>
      <c r="O1322" s="8" t="s">
        <v>41</v>
      </c>
      <c r="P1322" s="6" t="s">
        <v>95</v>
      </c>
      <c r="Q1322" s="8" t="s">
        <v>157</v>
      </c>
      <c r="R1322" s="10" t="s">
        <v>122</v>
      </c>
      <c r="S1322" s="11"/>
      <c r="T1322" s="6"/>
      <c r="U1322" s="28" t="str">
        <f>HYPERLINK("https://media.infra-m.ru/2006/2006057/cover/2006057.jpg", "Обложка")</f>
        <v>Обложка</v>
      </c>
      <c r="V1322" s="28" t="str">
        <f>HYPERLINK("https://znanium.com/catalog/product/1045807", "Ознакомиться")</f>
        <v>Ознакомиться</v>
      </c>
      <c r="W1322" s="8" t="s">
        <v>1285</v>
      </c>
      <c r="X1322" s="6"/>
      <c r="Y1322" s="6"/>
      <c r="Z1322" s="6"/>
      <c r="AA1322" s="6" t="s">
        <v>148</v>
      </c>
    </row>
    <row r="1323" spans="1:27" s="4" customFormat="1" ht="42" customHeight="1">
      <c r="A1323" s="5">
        <v>0</v>
      </c>
      <c r="B1323" s="6" t="s">
        <v>7176</v>
      </c>
      <c r="C1323" s="13">
        <v>1580</v>
      </c>
      <c r="D1323" s="8" t="s">
        <v>7177</v>
      </c>
      <c r="E1323" s="8" t="s">
        <v>7178</v>
      </c>
      <c r="F1323" s="8" t="s">
        <v>7179</v>
      </c>
      <c r="G1323" s="6" t="s">
        <v>37</v>
      </c>
      <c r="H1323" s="6" t="s">
        <v>38</v>
      </c>
      <c r="I1323" s="8"/>
      <c r="J1323" s="9">
        <v>1</v>
      </c>
      <c r="K1323" s="9">
        <v>352</v>
      </c>
      <c r="L1323" s="9">
        <v>2023</v>
      </c>
      <c r="M1323" s="8" t="s">
        <v>7180</v>
      </c>
      <c r="N1323" s="8" t="s">
        <v>40</v>
      </c>
      <c r="O1323" s="8" t="s">
        <v>41</v>
      </c>
      <c r="P1323" s="6" t="s">
        <v>2566</v>
      </c>
      <c r="Q1323" s="8" t="s">
        <v>76</v>
      </c>
      <c r="R1323" s="10" t="s">
        <v>6008</v>
      </c>
      <c r="S1323" s="11"/>
      <c r="T1323" s="6"/>
      <c r="U1323" s="28" t="str">
        <f>HYPERLINK("https://media.infra-m.ru/1905/1905975/cover/1905975.jpg", "Обложка")</f>
        <v>Обложка</v>
      </c>
      <c r="V1323" s="28" t="str">
        <f>HYPERLINK("https://znanium.com/catalog/product/1905975", "Ознакомиться")</f>
        <v>Ознакомиться</v>
      </c>
      <c r="W1323" s="8" t="s">
        <v>114</v>
      </c>
      <c r="X1323" s="6"/>
      <c r="Y1323" s="6"/>
      <c r="Z1323" s="6"/>
      <c r="AA1323" s="6" t="s">
        <v>115</v>
      </c>
    </row>
    <row r="1324" spans="1:27" s="4" customFormat="1" ht="51.95" customHeight="1">
      <c r="A1324" s="5">
        <v>0</v>
      </c>
      <c r="B1324" s="6" t="s">
        <v>7181</v>
      </c>
      <c r="C1324" s="13">
        <v>2990</v>
      </c>
      <c r="D1324" s="8" t="s">
        <v>7182</v>
      </c>
      <c r="E1324" s="8" t="s">
        <v>7183</v>
      </c>
      <c r="F1324" s="8" t="s">
        <v>7184</v>
      </c>
      <c r="G1324" s="6" t="s">
        <v>58</v>
      </c>
      <c r="H1324" s="6" t="s">
        <v>38</v>
      </c>
      <c r="I1324" s="8"/>
      <c r="J1324" s="9">
        <v>1</v>
      </c>
      <c r="K1324" s="9">
        <v>1008</v>
      </c>
      <c r="L1324" s="9">
        <v>2022</v>
      </c>
      <c r="M1324" s="8" t="s">
        <v>7185</v>
      </c>
      <c r="N1324" s="8" t="s">
        <v>40</v>
      </c>
      <c r="O1324" s="8" t="s">
        <v>41</v>
      </c>
      <c r="P1324" s="6" t="s">
        <v>95</v>
      </c>
      <c r="Q1324" s="8" t="s">
        <v>76</v>
      </c>
      <c r="R1324" s="10" t="s">
        <v>235</v>
      </c>
      <c r="S1324" s="11" t="s">
        <v>7186</v>
      </c>
      <c r="T1324" s="6"/>
      <c r="U1324" s="28" t="str">
        <f>HYPERLINK("https://media.infra-m.ru/1862/1862396/cover/1862396.jpg", "Обложка")</f>
        <v>Обложка</v>
      </c>
      <c r="V1324" s="28" t="str">
        <f>HYPERLINK("https://znanium.com/catalog/product/1862396", "Ознакомиться")</f>
        <v>Ознакомиться</v>
      </c>
      <c r="W1324" s="8" t="s">
        <v>114</v>
      </c>
      <c r="X1324" s="6"/>
      <c r="Y1324" s="6"/>
      <c r="Z1324" s="6"/>
      <c r="AA1324" s="6" t="s">
        <v>1187</v>
      </c>
    </row>
    <row r="1325" spans="1:27" s="4" customFormat="1" ht="42" customHeight="1">
      <c r="A1325" s="5">
        <v>0</v>
      </c>
      <c r="B1325" s="6" t="s">
        <v>7187</v>
      </c>
      <c r="C1325" s="13">
        <v>2600</v>
      </c>
      <c r="D1325" s="8" t="s">
        <v>7188</v>
      </c>
      <c r="E1325" s="8" t="s">
        <v>7189</v>
      </c>
      <c r="F1325" s="8" t="s">
        <v>7190</v>
      </c>
      <c r="G1325" s="6" t="s">
        <v>58</v>
      </c>
      <c r="H1325" s="6" t="s">
        <v>38</v>
      </c>
      <c r="I1325" s="8"/>
      <c r="J1325" s="9">
        <v>1</v>
      </c>
      <c r="K1325" s="9">
        <v>936</v>
      </c>
      <c r="L1325" s="9">
        <v>2023</v>
      </c>
      <c r="M1325" s="8" t="s">
        <v>7191</v>
      </c>
      <c r="N1325" s="8" t="s">
        <v>40</v>
      </c>
      <c r="O1325" s="8" t="s">
        <v>41</v>
      </c>
      <c r="P1325" s="6" t="s">
        <v>95</v>
      </c>
      <c r="Q1325" s="8" t="s">
        <v>76</v>
      </c>
      <c r="R1325" s="10" t="s">
        <v>6008</v>
      </c>
      <c r="S1325" s="11"/>
      <c r="T1325" s="6"/>
      <c r="U1325" s="28" t="str">
        <f>HYPERLINK("https://media.infra-m.ru/1896/1896617/cover/1896617.jpg", "Обложка")</f>
        <v>Обложка</v>
      </c>
      <c r="V1325" s="28" t="str">
        <f>HYPERLINK("https://znanium.com/catalog/product/1896617", "Ознакомиться")</f>
        <v>Ознакомиться</v>
      </c>
      <c r="W1325" s="8" t="s">
        <v>4047</v>
      </c>
      <c r="X1325" s="6"/>
      <c r="Y1325" s="6"/>
      <c r="Z1325" s="6"/>
      <c r="AA1325" s="6" t="s">
        <v>2437</v>
      </c>
    </row>
    <row r="1326" spans="1:27" s="4" customFormat="1" ht="42" customHeight="1">
      <c r="A1326" s="5">
        <v>0</v>
      </c>
      <c r="B1326" s="6" t="s">
        <v>7192</v>
      </c>
      <c r="C1326" s="7">
        <v>884.9</v>
      </c>
      <c r="D1326" s="8" t="s">
        <v>7193</v>
      </c>
      <c r="E1326" s="8" t="s">
        <v>7194</v>
      </c>
      <c r="F1326" s="8" t="s">
        <v>7195</v>
      </c>
      <c r="G1326" s="6" t="s">
        <v>58</v>
      </c>
      <c r="H1326" s="6" t="s">
        <v>617</v>
      </c>
      <c r="I1326" s="8" t="s">
        <v>1525</v>
      </c>
      <c r="J1326" s="9">
        <v>1</v>
      </c>
      <c r="K1326" s="9">
        <v>197</v>
      </c>
      <c r="L1326" s="9">
        <v>2023</v>
      </c>
      <c r="M1326" s="8" t="s">
        <v>7196</v>
      </c>
      <c r="N1326" s="8" t="s">
        <v>40</v>
      </c>
      <c r="O1326" s="8" t="s">
        <v>41</v>
      </c>
      <c r="P1326" s="6" t="s">
        <v>42</v>
      </c>
      <c r="Q1326" s="8" t="s">
        <v>43</v>
      </c>
      <c r="R1326" s="10" t="s">
        <v>304</v>
      </c>
      <c r="S1326" s="11"/>
      <c r="T1326" s="6"/>
      <c r="U1326" s="28" t="str">
        <f>HYPERLINK("https://media.infra-m.ru/1896/1896422/cover/1896422.jpg", "Обложка")</f>
        <v>Обложка</v>
      </c>
      <c r="V1326" s="28" t="str">
        <f>HYPERLINK("https://znanium.com/catalog/product/1215353", "Ознакомиться")</f>
        <v>Ознакомиться</v>
      </c>
      <c r="W1326" s="8" t="s">
        <v>1362</v>
      </c>
      <c r="X1326" s="6"/>
      <c r="Y1326" s="6"/>
      <c r="Z1326" s="6"/>
      <c r="AA1326" s="6" t="s">
        <v>719</v>
      </c>
    </row>
    <row r="1327" spans="1:27" s="4" customFormat="1" ht="51.95" customHeight="1">
      <c r="A1327" s="5">
        <v>0</v>
      </c>
      <c r="B1327" s="6" t="s">
        <v>7197</v>
      </c>
      <c r="C1327" s="13">
        <v>1490</v>
      </c>
      <c r="D1327" s="8" t="s">
        <v>7198</v>
      </c>
      <c r="E1327" s="8" t="s">
        <v>7199</v>
      </c>
      <c r="F1327" s="8" t="s">
        <v>7200</v>
      </c>
      <c r="G1327" s="6" t="s">
        <v>37</v>
      </c>
      <c r="H1327" s="6" t="s">
        <v>84</v>
      </c>
      <c r="I1327" s="8" t="s">
        <v>85</v>
      </c>
      <c r="J1327" s="9">
        <v>1</v>
      </c>
      <c r="K1327" s="9">
        <v>392</v>
      </c>
      <c r="L1327" s="9">
        <v>2021</v>
      </c>
      <c r="M1327" s="8" t="s">
        <v>7201</v>
      </c>
      <c r="N1327" s="8" t="s">
        <v>40</v>
      </c>
      <c r="O1327" s="8" t="s">
        <v>41</v>
      </c>
      <c r="P1327" s="6" t="s">
        <v>811</v>
      </c>
      <c r="Q1327" s="8" t="s">
        <v>43</v>
      </c>
      <c r="R1327" s="10" t="s">
        <v>7202</v>
      </c>
      <c r="S1327" s="11"/>
      <c r="T1327" s="6"/>
      <c r="U1327" s="28" t="str">
        <f>HYPERLINK("https://media.infra-m.ru/1248/1248685/cover/1248685.jpg", "Обложка")</f>
        <v>Обложка</v>
      </c>
      <c r="V1327" s="28" t="str">
        <f>HYPERLINK("https://znanium.com/catalog/product/1840656", "Ознакомиться")</f>
        <v>Ознакомиться</v>
      </c>
      <c r="W1327" s="8" t="s">
        <v>45</v>
      </c>
      <c r="X1327" s="6"/>
      <c r="Y1327" s="6"/>
      <c r="Z1327" s="6"/>
      <c r="AA1327" s="6" t="s">
        <v>115</v>
      </c>
    </row>
    <row r="1328" spans="1:27" s="4" customFormat="1" ht="42" customHeight="1">
      <c r="A1328" s="5">
        <v>0</v>
      </c>
      <c r="B1328" s="6" t="s">
        <v>7203</v>
      </c>
      <c r="C1328" s="13">
        <v>1130</v>
      </c>
      <c r="D1328" s="8" t="s">
        <v>7204</v>
      </c>
      <c r="E1328" s="8" t="s">
        <v>7205</v>
      </c>
      <c r="F1328" s="8" t="s">
        <v>7206</v>
      </c>
      <c r="G1328" s="6" t="s">
        <v>58</v>
      </c>
      <c r="H1328" s="6" t="s">
        <v>84</v>
      </c>
      <c r="I1328" s="8" t="s">
        <v>120</v>
      </c>
      <c r="J1328" s="9">
        <v>1</v>
      </c>
      <c r="K1328" s="9">
        <v>241</v>
      </c>
      <c r="L1328" s="9">
        <v>2023</v>
      </c>
      <c r="M1328" s="8" t="s">
        <v>7207</v>
      </c>
      <c r="N1328" s="8" t="s">
        <v>40</v>
      </c>
      <c r="O1328" s="8" t="s">
        <v>41</v>
      </c>
      <c r="P1328" s="6" t="s">
        <v>75</v>
      </c>
      <c r="Q1328" s="8" t="s">
        <v>76</v>
      </c>
      <c r="R1328" s="10" t="s">
        <v>113</v>
      </c>
      <c r="S1328" s="11"/>
      <c r="T1328" s="6"/>
      <c r="U1328" s="28" t="str">
        <f>HYPERLINK("https://media.infra-m.ru/1846/1846130/cover/1846130.jpg", "Обложка")</f>
        <v>Обложка</v>
      </c>
      <c r="V1328" s="28" t="str">
        <f>HYPERLINK("https://znanium.com/catalog/product/1846130", "Ознакомиться")</f>
        <v>Ознакомиться</v>
      </c>
      <c r="W1328" s="8"/>
      <c r="X1328" s="6" t="s">
        <v>645</v>
      </c>
      <c r="Y1328" s="6"/>
      <c r="Z1328" s="6"/>
      <c r="AA1328" s="6" t="s">
        <v>408</v>
      </c>
    </row>
    <row r="1329" spans="1:27" s="4" customFormat="1" ht="42" customHeight="1">
      <c r="A1329" s="5">
        <v>0</v>
      </c>
      <c r="B1329" s="6" t="s">
        <v>7208</v>
      </c>
      <c r="C1329" s="13">
        <v>3094</v>
      </c>
      <c r="D1329" s="8" t="s">
        <v>7209</v>
      </c>
      <c r="E1329" s="8" t="s">
        <v>7210</v>
      </c>
      <c r="F1329" s="8" t="s">
        <v>7211</v>
      </c>
      <c r="G1329" s="6" t="s">
        <v>58</v>
      </c>
      <c r="H1329" s="6" t="s">
        <v>38</v>
      </c>
      <c r="I1329" s="8"/>
      <c r="J1329" s="9">
        <v>1</v>
      </c>
      <c r="K1329" s="9">
        <v>888</v>
      </c>
      <c r="L1329" s="9">
        <v>2024</v>
      </c>
      <c r="M1329" s="8" t="s">
        <v>7212</v>
      </c>
      <c r="N1329" s="8" t="s">
        <v>40</v>
      </c>
      <c r="O1329" s="8" t="s">
        <v>41</v>
      </c>
      <c r="P1329" s="6" t="s">
        <v>95</v>
      </c>
      <c r="Q1329" s="8" t="s">
        <v>680</v>
      </c>
      <c r="R1329" s="10" t="s">
        <v>113</v>
      </c>
      <c r="S1329" s="11"/>
      <c r="T1329" s="6"/>
      <c r="U1329" s="28" t="str">
        <f>HYPERLINK("https://media.infra-m.ru/1910/1910671/cover/1910671.jpg", "Обложка")</f>
        <v>Обложка</v>
      </c>
      <c r="V1329" s="28" t="str">
        <f>HYPERLINK("https://znanium.com/catalog/product/1699408", "Ознакомиться")</f>
        <v>Ознакомиться</v>
      </c>
      <c r="W1329" s="8" t="s">
        <v>124</v>
      </c>
      <c r="X1329" s="6"/>
      <c r="Y1329" s="6"/>
      <c r="Z1329" s="6"/>
      <c r="AA1329" s="6" t="s">
        <v>343</v>
      </c>
    </row>
    <row r="1330" spans="1:27" s="4" customFormat="1" ht="51.95" customHeight="1">
      <c r="A1330" s="5">
        <v>0</v>
      </c>
      <c r="B1330" s="6" t="s">
        <v>7213</v>
      </c>
      <c r="C1330" s="13">
        <v>1949.9</v>
      </c>
      <c r="D1330" s="8" t="s">
        <v>7214</v>
      </c>
      <c r="E1330" s="8" t="s">
        <v>7215</v>
      </c>
      <c r="F1330" s="8" t="s">
        <v>7216</v>
      </c>
      <c r="G1330" s="6" t="s">
        <v>37</v>
      </c>
      <c r="H1330" s="6" t="s">
        <v>38</v>
      </c>
      <c r="I1330" s="8"/>
      <c r="J1330" s="9">
        <v>1</v>
      </c>
      <c r="K1330" s="9">
        <v>752</v>
      </c>
      <c r="L1330" s="9">
        <v>2019</v>
      </c>
      <c r="M1330" s="8" t="s">
        <v>7217</v>
      </c>
      <c r="N1330" s="8" t="s">
        <v>40</v>
      </c>
      <c r="O1330" s="8" t="s">
        <v>41</v>
      </c>
      <c r="P1330" s="6" t="s">
        <v>95</v>
      </c>
      <c r="Q1330" s="8" t="s">
        <v>76</v>
      </c>
      <c r="R1330" s="10" t="s">
        <v>235</v>
      </c>
      <c r="S1330" s="11" t="s">
        <v>7218</v>
      </c>
      <c r="T1330" s="6"/>
      <c r="U1330" s="28" t="str">
        <f>HYPERLINK("https://media.infra-m.ru/1022/1022469/cover/1022469.jpg", "Обложка")</f>
        <v>Обложка</v>
      </c>
      <c r="V1330" s="28" t="str">
        <f>HYPERLINK("https://znanium.com/catalog/product/1902468", "Ознакомиться")</f>
        <v>Ознакомиться</v>
      </c>
      <c r="W1330" s="8" t="s">
        <v>4183</v>
      </c>
      <c r="X1330" s="6"/>
      <c r="Y1330" s="6"/>
      <c r="Z1330" s="6"/>
      <c r="AA1330" s="6" t="s">
        <v>2419</v>
      </c>
    </row>
    <row r="1331" spans="1:27" s="4" customFormat="1" ht="51.95" customHeight="1">
      <c r="A1331" s="5">
        <v>0</v>
      </c>
      <c r="B1331" s="6" t="s">
        <v>7219</v>
      </c>
      <c r="C1331" s="13">
        <v>2600</v>
      </c>
      <c r="D1331" s="8" t="s">
        <v>7220</v>
      </c>
      <c r="E1331" s="8" t="s">
        <v>7221</v>
      </c>
      <c r="F1331" s="8" t="s">
        <v>7216</v>
      </c>
      <c r="G1331" s="6" t="s">
        <v>58</v>
      </c>
      <c r="H1331" s="6" t="s">
        <v>38</v>
      </c>
      <c r="I1331" s="8"/>
      <c r="J1331" s="9">
        <v>1</v>
      </c>
      <c r="K1331" s="9">
        <v>784</v>
      </c>
      <c r="L1331" s="9">
        <v>2024</v>
      </c>
      <c r="M1331" s="8" t="s">
        <v>7222</v>
      </c>
      <c r="N1331" s="8" t="s">
        <v>40</v>
      </c>
      <c r="O1331" s="8" t="s">
        <v>41</v>
      </c>
      <c r="P1331" s="6" t="s">
        <v>95</v>
      </c>
      <c r="Q1331" s="8" t="s">
        <v>76</v>
      </c>
      <c r="R1331" s="10" t="s">
        <v>235</v>
      </c>
      <c r="S1331" s="11" t="s">
        <v>7218</v>
      </c>
      <c r="T1331" s="6"/>
      <c r="U1331" s="28" t="str">
        <f>HYPERLINK("https://media.infra-m.ru/2118/2118043/cover/2118043.jpg", "Обложка")</f>
        <v>Обложка</v>
      </c>
      <c r="V1331" s="28" t="str">
        <f>HYPERLINK("https://znanium.com/catalog/product/1902468", "Ознакомиться")</f>
        <v>Ознакомиться</v>
      </c>
      <c r="W1331" s="8" t="s">
        <v>4183</v>
      </c>
      <c r="X1331" s="6"/>
      <c r="Y1331" s="6"/>
      <c r="Z1331" s="6"/>
      <c r="AA1331" s="6" t="s">
        <v>1089</v>
      </c>
    </row>
    <row r="1332" spans="1:27" s="4" customFormat="1" ht="42" customHeight="1">
      <c r="A1332" s="5">
        <v>0</v>
      </c>
      <c r="B1332" s="6" t="s">
        <v>7223</v>
      </c>
      <c r="C1332" s="7">
        <v>89.9</v>
      </c>
      <c r="D1332" s="8" t="s">
        <v>7224</v>
      </c>
      <c r="E1332" s="8" t="s">
        <v>7215</v>
      </c>
      <c r="F1332" s="8"/>
      <c r="G1332" s="6" t="s">
        <v>26</v>
      </c>
      <c r="H1332" s="6" t="s">
        <v>52</v>
      </c>
      <c r="I1332" s="8" t="s">
        <v>226</v>
      </c>
      <c r="J1332" s="9">
        <v>80</v>
      </c>
      <c r="K1332" s="9">
        <v>158</v>
      </c>
      <c r="L1332" s="9">
        <v>2016</v>
      </c>
      <c r="M1332" s="8" t="s">
        <v>7225</v>
      </c>
      <c r="N1332" s="8" t="s">
        <v>40</v>
      </c>
      <c r="O1332" s="8" t="s">
        <v>41</v>
      </c>
      <c r="P1332" s="6" t="s">
        <v>228</v>
      </c>
      <c r="Q1332" s="8" t="s">
        <v>76</v>
      </c>
      <c r="R1332" s="10" t="s">
        <v>3869</v>
      </c>
      <c r="S1332" s="11"/>
      <c r="T1332" s="6"/>
      <c r="U1332" s="28" t="str">
        <f>HYPERLINK("https://media.infra-m.ru/0522/0522352/cover/522352.jpg", "Обложка")</f>
        <v>Обложка</v>
      </c>
      <c r="V1332" s="28" t="str">
        <f>HYPERLINK("https://znanium.com/catalog/product/522352", "Ознакомиться")</f>
        <v>Ознакомиться</v>
      </c>
      <c r="W1332" s="8"/>
      <c r="X1332" s="6"/>
      <c r="Y1332" s="6"/>
      <c r="Z1332" s="6"/>
      <c r="AA1332" s="6" t="s">
        <v>229</v>
      </c>
    </row>
    <row r="1333" spans="1:27" s="4" customFormat="1" ht="42" customHeight="1">
      <c r="A1333" s="5">
        <v>0</v>
      </c>
      <c r="B1333" s="6" t="s">
        <v>7226</v>
      </c>
      <c r="C1333" s="7">
        <v>954</v>
      </c>
      <c r="D1333" s="8" t="s">
        <v>7227</v>
      </c>
      <c r="E1333" s="8" t="s">
        <v>7228</v>
      </c>
      <c r="F1333" s="8" t="s">
        <v>7229</v>
      </c>
      <c r="G1333" s="6" t="s">
        <v>58</v>
      </c>
      <c r="H1333" s="6" t="s">
        <v>38</v>
      </c>
      <c r="I1333" s="8"/>
      <c r="J1333" s="9">
        <v>1</v>
      </c>
      <c r="K1333" s="9">
        <v>208</v>
      </c>
      <c r="L1333" s="9">
        <v>2023</v>
      </c>
      <c r="M1333" s="8" t="s">
        <v>7230</v>
      </c>
      <c r="N1333" s="8" t="s">
        <v>40</v>
      </c>
      <c r="O1333" s="8" t="s">
        <v>41</v>
      </c>
      <c r="P1333" s="6" t="s">
        <v>42</v>
      </c>
      <c r="Q1333" s="8" t="s">
        <v>43</v>
      </c>
      <c r="R1333" s="10" t="s">
        <v>113</v>
      </c>
      <c r="S1333" s="11"/>
      <c r="T1333" s="6"/>
      <c r="U1333" s="28" t="str">
        <f>HYPERLINK("https://media.infra-m.ru/2080/2080777/cover/2080777.jpg", "Обложка")</f>
        <v>Обложка</v>
      </c>
      <c r="V1333" s="28" t="str">
        <f>HYPERLINK("https://znanium.com/catalog/product/1425699", "Ознакомиться")</f>
        <v>Ознакомиться</v>
      </c>
      <c r="W1333" s="8" t="s">
        <v>114</v>
      </c>
      <c r="X1333" s="6"/>
      <c r="Y1333" s="6"/>
      <c r="Z1333" s="6"/>
      <c r="AA1333" s="6" t="s">
        <v>88</v>
      </c>
    </row>
    <row r="1334" spans="1:27" s="4" customFormat="1" ht="42" customHeight="1">
      <c r="A1334" s="5">
        <v>0</v>
      </c>
      <c r="B1334" s="6" t="s">
        <v>7231</v>
      </c>
      <c r="C1334" s="13">
        <v>1250</v>
      </c>
      <c r="D1334" s="8" t="s">
        <v>7232</v>
      </c>
      <c r="E1334" s="8" t="s">
        <v>7233</v>
      </c>
      <c r="F1334" s="8" t="s">
        <v>7234</v>
      </c>
      <c r="G1334" s="6" t="s">
        <v>58</v>
      </c>
      <c r="H1334" s="6" t="s">
        <v>38</v>
      </c>
      <c r="I1334" s="8"/>
      <c r="J1334" s="9">
        <v>1</v>
      </c>
      <c r="K1334" s="9">
        <v>328</v>
      </c>
      <c r="L1334" s="9">
        <v>2021</v>
      </c>
      <c r="M1334" s="8" t="s">
        <v>7235</v>
      </c>
      <c r="N1334" s="8" t="s">
        <v>40</v>
      </c>
      <c r="O1334" s="8" t="s">
        <v>41</v>
      </c>
      <c r="P1334" s="6" t="s">
        <v>42</v>
      </c>
      <c r="Q1334" s="8" t="s">
        <v>43</v>
      </c>
      <c r="R1334" s="10" t="s">
        <v>1339</v>
      </c>
      <c r="S1334" s="11"/>
      <c r="T1334" s="6"/>
      <c r="U1334" s="28" t="str">
        <f>HYPERLINK("https://media.infra-m.ru/1118/1118470/cover/1118470.jpg", "Обложка")</f>
        <v>Обложка</v>
      </c>
      <c r="V1334" s="28" t="str">
        <f>HYPERLINK("https://znanium.com/catalog/product/1118470", "Ознакомиться")</f>
        <v>Ознакомиться</v>
      </c>
      <c r="W1334" s="8" t="s">
        <v>114</v>
      </c>
      <c r="X1334" s="6"/>
      <c r="Y1334" s="6"/>
      <c r="Z1334" s="6"/>
      <c r="AA1334" s="6" t="s">
        <v>62</v>
      </c>
    </row>
    <row r="1335" spans="1:27" s="4" customFormat="1" ht="51.95" customHeight="1">
      <c r="A1335" s="5">
        <v>0</v>
      </c>
      <c r="B1335" s="6" t="s">
        <v>7236</v>
      </c>
      <c r="C1335" s="13">
        <v>1490</v>
      </c>
      <c r="D1335" s="8" t="s">
        <v>7237</v>
      </c>
      <c r="E1335" s="8" t="s">
        <v>7238</v>
      </c>
      <c r="F1335" s="8" t="s">
        <v>7239</v>
      </c>
      <c r="G1335" s="6" t="s">
        <v>37</v>
      </c>
      <c r="H1335" s="6" t="s">
        <v>84</v>
      </c>
      <c r="I1335" s="8" t="s">
        <v>316</v>
      </c>
      <c r="J1335" s="9">
        <v>1</v>
      </c>
      <c r="K1335" s="9">
        <v>331</v>
      </c>
      <c r="L1335" s="9">
        <v>2022</v>
      </c>
      <c r="M1335" s="8" t="s">
        <v>7240</v>
      </c>
      <c r="N1335" s="8" t="s">
        <v>40</v>
      </c>
      <c r="O1335" s="8" t="s">
        <v>41</v>
      </c>
      <c r="P1335" s="6" t="s">
        <v>75</v>
      </c>
      <c r="Q1335" s="8" t="s">
        <v>157</v>
      </c>
      <c r="R1335" s="10" t="s">
        <v>7241</v>
      </c>
      <c r="S1335" s="11" t="s">
        <v>7242</v>
      </c>
      <c r="T1335" s="6"/>
      <c r="U1335" s="28" t="str">
        <f>HYPERLINK("https://media.infra-m.ru/1862/1862859/cover/1862859.jpg", "Обложка")</f>
        <v>Обложка</v>
      </c>
      <c r="V1335" s="28" t="str">
        <f>HYPERLINK("https://znanium.com/catalog/product/1862859", "Ознакомиться")</f>
        <v>Ознакомиться</v>
      </c>
      <c r="W1335" s="8" t="s">
        <v>7243</v>
      </c>
      <c r="X1335" s="6"/>
      <c r="Y1335" s="6"/>
      <c r="Z1335" s="6"/>
      <c r="AA1335" s="6" t="s">
        <v>79</v>
      </c>
    </row>
    <row r="1336" spans="1:27" s="4" customFormat="1" ht="42" customHeight="1">
      <c r="A1336" s="5">
        <v>0</v>
      </c>
      <c r="B1336" s="6" t="s">
        <v>7244</v>
      </c>
      <c r="C1336" s="13">
        <v>1804.9</v>
      </c>
      <c r="D1336" s="8" t="s">
        <v>7245</v>
      </c>
      <c r="E1336" s="8" t="s">
        <v>7246</v>
      </c>
      <c r="F1336" s="8" t="s">
        <v>7247</v>
      </c>
      <c r="G1336" s="6" t="s">
        <v>58</v>
      </c>
      <c r="H1336" s="6" t="s">
        <v>38</v>
      </c>
      <c r="I1336" s="8"/>
      <c r="J1336" s="9">
        <v>1</v>
      </c>
      <c r="K1336" s="9">
        <v>400</v>
      </c>
      <c r="L1336" s="9">
        <v>2023</v>
      </c>
      <c r="M1336" s="8" t="s">
        <v>7248</v>
      </c>
      <c r="N1336" s="8" t="s">
        <v>40</v>
      </c>
      <c r="O1336" s="8" t="s">
        <v>41</v>
      </c>
      <c r="P1336" s="6" t="s">
        <v>42</v>
      </c>
      <c r="Q1336" s="8" t="s">
        <v>43</v>
      </c>
      <c r="R1336" s="10" t="s">
        <v>1339</v>
      </c>
      <c r="S1336" s="11"/>
      <c r="T1336" s="6"/>
      <c r="U1336" s="28" t="str">
        <f>HYPERLINK("https://media.infra-m.ru/2023/2023198/cover/2023198.jpg", "Обложка")</f>
        <v>Обложка</v>
      </c>
      <c r="V1336" s="28" t="str">
        <f>HYPERLINK("https://znanium.com/catalog/product/1177510", "Ознакомиться")</f>
        <v>Ознакомиться</v>
      </c>
      <c r="W1336" s="8" t="s">
        <v>7249</v>
      </c>
      <c r="X1336" s="6"/>
      <c r="Y1336" s="6"/>
      <c r="Z1336" s="6"/>
      <c r="AA1336" s="6" t="s">
        <v>46</v>
      </c>
    </row>
    <row r="1337" spans="1:27" s="4" customFormat="1" ht="42" customHeight="1">
      <c r="A1337" s="5">
        <v>0</v>
      </c>
      <c r="B1337" s="6" t="s">
        <v>7250</v>
      </c>
      <c r="C1337" s="13">
        <v>1030</v>
      </c>
      <c r="D1337" s="8" t="s">
        <v>7251</v>
      </c>
      <c r="E1337" s="8" t="s">
        <v>7252</v>
      </c>
      <c r="F1337" s="8" t="s">
        <v>7253</v>
      </c>
      <c r="G1337" s="6" t="s">
        <v>51</v>
      </c>
      <c r="H1337" s="6" t="s">
        <v>84</v>
      </c>
      <c r="I1337" s="8" t="s">
        <v>251</v>
      </c>
      <c r="J1337" s="9">
        <v>1</v>
      </c>
      <c r="K1337" s="9">
        <v>302</v>
      </c>
      <c r="L1337" s="9">
        <v>2019</v>
      </c>
      <c r="M1337" s="8" t="s">
        <v>7254</v>
      </c>
      <c r="N1337" s="8" t="s">
        <v>40</v>
      </c>
      <c r="O1337" s="8" t="s">
        <v>41</v>
      </c>
      <c r="P1337" s="6" t="s">
        <v>42</v>
      </c>
      <c r="Q1337" s="8" t="s">
        <v>43</v>
      </c>
      <c r="R1337" s="10" t="s">
        <v>304</v>
      </c>
      <c r="S1337" s="11"/>
      <c r="T1337" s="6"/>
      <c r="U1337" s="28" t="str">
        <f>HYPERLINK("https://media.infra-m.ru/0992/0992815/cover/992815.jpg", "Обложка")</f>
        <v>Обложка</v>
      </c>
      <c r="V1337" s="28" t="str">
        <f>HYPERLINK("https://znanium.com/catalog/product/992815", "Ознакомиться")</f>
        <v>Ознакомиться</v>
      </c>
      <c r="W1337" s="8" t="s">
        <v>3088</v>
      </c>
      <c r="X1337" s="6"/>
      <c r="Y1337" s="6"/>
      <c r="Z1337" s="6"/>
      <c r="AA1337" s="6" t="s">
        <v>422</v>
      </c>
    </row>
    <row r="1338" spans="1:27" s="4" customFormat="1" ht="42" customHeight="1">
      <c r="A1338" s="5">
        <v>0</v>
      </c>
      <c r="B1338" s="6" t="s">
        <v>7255</v>
      </c>
      <c r="C1338" s="7">
        <v>474</v>
      </c>
      <c r="D1338" s="8" t="s">
        <v>7256</v>
      </c>
      <c r="E1338" s="8" t="s">
        <v>7257</v>
      </c>
      <c r="F1338" s="8" t="s">
        <v>7258</v>
      </c>
      <c r="G1338" s="6" t="s">
        <v>51</v>
      </c>
      <c r="H1338" s="6" t="s">
        <v>84</v>
      </c>
      <c r="I1338" s="8" t="s">
        <v>251</v>
      </c>
      <c r="J1338" s="9">
        <v>1</v>
      </c>
      <c r="K1338" s="9">
        <v>103</v>
      </c>
      <c r="L1338" s="9">
        <v>2024</v>
      </c>
      <c r="M1338" s="8" t="s">
        <v>7259</v>
      </c>
      <c r="N1338" s="8" t="s">
        <v>40</v>
      </c>
      <c r="O1338" s="8" t="s">
        <v>41</v>
      </c>
      <c r="P1338" s="6" t="s">
        <v>42</v>
      </c>
      <c r="Q1338" s="8" t="s">
        <v>43</v>
      </c>
      <c r="R1338" s="10" t="s">
        <v>113</v>
      </c>
      <c r="S1338" s="11"/>
      <c r="T1338" s="6"/>
      <c r="U1338" s="28" t="str">
        <f>HYPERLINK("https://media.infra-m.ru/2117/2117085/cover/2117085.jpg", "Обложка")</f>
        <v>Обложка</v>
      </c>
      <c r="V1338" s="28" t="str">
        <f>HYPERLINK("https://znanium.com/catalog/product/1029213", "Ознакомиться")</f>
        <v>Ознакомиться</v>
      </c>
      <c r="W1338" s="8" t="s">
        <v>692</v>
      </c>
      <c r="X1338" s="6"/>
      <c r="Y1338" s="6"/>
      <c r="Z1338" s="6"/>
      <c r="AA1338" s="6" t="s">
        <v>148</v>
      </c>
    </row>
    <row r="1339" spans="1:27" s="4" customFormat="1" ht="44.1" customHeight="1">
      <c r="A1339" s="5">
        <v>0</v>
      </c>
      <c r="B1339" s="6" t="s">
        <v>7260</v>
      </c>
      <c r="C1339" s="7">
        <v>734</v>
      </c>
      <c r="D1339" s="8" t="s">
        <v>7261</v>
      </c>
      <c r="E1339" s="8" t="s">
        <v>7262</v>
      </c>
      <c r="F1339" s="8" t="s">
        <v>6839</v>
      </c>
      <c r="G1339" s="6" t="s">
        <v>51</v>
      </c>
      <c r="H1339" s="6" t="s">
        <v>38</v>
      </c>
      <c r="I1339" s="8"/>
      <c r="J1339" s="9">
        <v>1</v>
      </c>
      <c r="K1339" s="9">
        <v>160</v>
      </c>
      <c r="L1339" s="9">
        <v>2023</v>
      </c>
      <c r="M1339" s="8" t="s">
        <v>7263</v>
      </c>
      <c r="N1339" s="8" t="s">
        <v>40</v>
      </c>
      <c r="O1339" s="8" t="s">
        <v>41</v>
      </c>
      <c r="P1339" s="6" t="s">
        <v>42</v>
      </c>
      <c r="Q1339" s="8" t="s">
        <v>296</v>
      </c>
      <c r="R1339" s="10" t="s">
        <v>304</v>
      </c>
      <c r="S1339" s="11"/>
      <c r="T1339" s="6"/>
      <c r="U1339" s="28" t="str">
        <f>HYPERLINK("https://media.infra-m.ru/2064/2064564/cover/2064564.jpg", "Обложка")</f>
        <v>Обложка</v>
      </c>
      <c r="V1339" s="28" t="str">
        <f>HYPERLINK("https://znanium.com/catalog/product/1861152", "Ознакомиться")</f>
        <v>Ознакомиться</v>
      </c>
      <c r="W1339" s="8" t="s">
        <v>195</v>
      </c>
      <c r="X1339" s="6"/>
      <c r="Y1339" s="6"/>
      <c r="Z1339" s="6"/>
      <c r="AA1339" s="6" t="s">
        <v>422</v>
      </c>
    </row>
    <row r="1340" spans="1:27" s="4" customFormat="1" ht="42" customHeight="1">
      <c r="A1340" s="5">
        <v>0</v>
      </c>
      <c r="B1340" s="6" t="s">
        <v>7264</v>
      </c>
      <c r="C1340" s="13">
        <v>2145</v>
      </c>
      <c r="D1340" s="8" t="s">
        <v>7265</v>
      </c>
      <c r="E1340" s="8" t="s">
        <v>7266</v>
      </c>
      <c r="F1340" s="8" t="s">
        <v>799</v>
      </c>
      <c r="G1340" s="6" t="s">
        <v>58</v>
      </c>
      <c r="H1340" s="6" t="s">
        <v>38</v>
      </c>
      <c r="I1340" s="8"/>
      <c r="J1340" s="9">
        <v>1</v>
      </c>
      <c r="K1340" s="9">
        <v>224</v>
      </c>
      <c r="L1340" s="9">
        <v>2022</v>
      </c>
      <c r="M1340" s="8" t="s">
        <v>7267</v>
      </c>
      <c r="N1340" s="8" t="s">
        <v>40</v>
      </c>
      <c r="O1340" s="8" t="s">
        <v>41</v>
      </c>
      <c r="P1340" s="6" t="s">
        <v>42</v>
      </c>
      <c r="Q1340" s="8" t="s">
        <v>43</v>
      </c>
      <c r="R1340" s="10" t="s">
        <v>7268</v>
      </c>
      <c r="S1340" s="11"/>
      <c r="T1340" s="6"/>
      <c r="U1340" s="28" t="str">
        <f>HYPERLINK("https://media.infra-m.ru/1911/1911596/cover/1911596.jpg", "Обложка")</f>
        <v>Обложка</v>
      </c>
      <c r="V1340" s="12"/>
      <c r="W1340" s="8"/>
      <c r="X1340" s="6"/>
      <c r="Y1340" s="6"/>
      <c r="Z1340" s="6"/>
      <c r="AA1340" s="6" t="s">
        <v>343</v>
      </c>
    </row>
    <row r="1341" spans="1:27" s="4" customFormat="1" ht="42" customHeight="1">
      <c r="A1341" s="5">
        <v>0</v>
      </c>
      <c r="B1341" s="6" t="s">
        <v>7269</v>
      </c>
      <c r="C1341" s="7">
        <v>570</v>
      </c>
      <c r="D1341" s="8" t="s">
        <v>7270</v>
      </c>
      <c r="E1341" s="8" t="s">
        <v>7271</v>
      </c>
      <c r="F1341" s="8" t="s">
        <v>1779</v>
      </c>
      <c r="G1341" s="6" t="s">
        <v>37</v>
      </c>
      <c r="H1341" s="6" t="s">
        <v>38</v>
      </c>
      <c r="I1341" s="8"/>
      <c r="J1341" s="9">
        <v>1</v>
      </c>
      <c r="K1341" s="9">
        <v>128</v>
      </c>
      <c r="L1341" s="9">
        <v>2022</v>
      </c>
      <c r="M1341" s="8" t="s">
        <v>7272</v>
      </c>
      <c r="N1341" s="8" t="s">
        <v>40</v>
      </c>
      <c r="O1341" s="8" t="s">
        <v>41</v>
      </c>
      <c r="P1341" s="6" t="s">
        <v>42</v>
      </c>
      <c r="Q1341" s="8" t="s">
        <v>43</v>
      </c>
      <c r="R1341" s="10" t="s">
        <v>340</v>
      </c>
      <c r="S1341" s="11"/>
      <c r="T1341" s="6"/>
      <c r="U1341" s="28" t="str">
        <f>HYPERLINK("https://media.infra-m.ru/1816/1816924/cover/1816924.jpg", "Обложка")</f>
        <v>Обложка</v>
      </c>
      <c r="V1341" s="28" t="str">
        <f>HYPERLINK("https://znanium.com/catalog/product/1816924", "Ознакомиться")</f>
        <v>Ознакомиться</v>
      </c>
      <c r="W1341" s="8" t="s">
        <v>1356</v>
      </c>
      <c r="X1341" s="6"/>
      <c r="Y1341" s="6"/>
      <c r="Z1341" s="6"/>
      <c r="AA1341" s="6" t="s">
        <v>148</v>
      </c>
    </row>
    <row r="1342" spans="1:27" s="4" customFormat="1" ht="42" customHeight="1">
      <c r="A1342" s="5">
        <v>0</v>
      </c>
      <c r="B1342" s="6" t="s">
        <v>7273</v>
      </c>
      <c r="C1342" s="13">
        <v>1630</v>
      </c>
      <c r="D1342" s="8" t="s">
        <v>7274</v>
      </c>
      <c r="E1342" s="8" t="s">
        <v>7275</v>
      </c>
      <c r="F1342" s="8" t="s">
        <v>7276</v>
      </c>
      <c r="G1342" s="6" t="s">
        <v>37</v>
      </c>
      <c r="H1342" s="6" t="s">
        <v>52</v>
      </c>
      <c r="I1342" s="8" t="s">
        <v>1605</v>
      </c>
      <c r="J1342" s="9">
        <v>1</v>
      </c>
      <c r="K1342" s="9">
        <v>388</v>
      </c>
      <c r="L1342" s="9">
        <v>2022</v>
      </c>
      <c r="M1342" s="8" t="s">
        <v>7277</v>
      </c>
      <c r="N1342" s="8" t="s">
        <v>40</v>
      </c>
      <c r="O1342" s="8" t="s">
        <v>41</v>
      </c>
      <c r="P1342" s="6" t="s">
        <v>42</v>
      </c>
      <c r="Q1342" s="8" t="s">
        <v>43</v>
      </c>
      <c r="R1342" s="10" t="s">
        <v>87</v>
      </c>
      <c r="S1342" s="11"/>
      <c r="T1342" s="6"/>
      <c r="U1342" s="28" t="str">
        <f>HYPERLINK("https://media.infra-m.ru/1874/1874069/cover/1874069.jpg", "Обложка")</f>
        <v>Обложка</v>
      </c>
      <c r="V1342" s="12"/>
      <c r="W1342" s="8" t="s">
        <v>726</v>
      </c>
      <c r="X1342" s="6"/>
      <c r="Y1342" s="6"/>
      <c r="Z1342" s="6"/>
      <c r="AA1342" s="6" t="s">
        <v>115</v>
      </c>
    </row>
    <row r="1343" spans="1:27" s="4" customFormat="1" ht="51.95" customHeight="1">
      <c r="A1343" s="5">
        <v>0</v>
      </c>
      <c r="B1343" s="6" t="s">
        <v>7278</v>
      </c>
      <c r="C1343" s="13">
        <v>1050</v>
      </c>
      <c r="D1343" s="8" t="s">
        <v>7279</v>
      </c>
      <c r="E1343" s="8" t="s">
        <v>7280</v>
      </c>
      <c r="F1343" s="8" t="s">
        <v>7281</v>
      </c>
      <c r="G1343" s="6" t="s">
        <v>37</v>
      </c>
      <c r="H1343" s="6" t="s">
        <v>1247</v>
      </c>
      <c r="I1343" s="8"/>
      <c r="J1343" s="9">
        <v>1</v>
      </c>
      <c r="K1343" s="9">
        <v>292</v>
      </c>
      <c r="L1343" s="9">
        <v>2021</v>
      </c>
      <c r="M1343" s="8" t="s">
        <v>7282</v>
      </c>
      <c r="N1343" s="8" t="s">
        <v>40</v>
      </c>
      <c r="O1343" s="8" t="s">
        <v>41</v>
      </c>
      <c r="P1343" s="6" t="s">
        <v>95</v>
      </c>
      <c r="Q1343" s="8" t="s">
        <v>76</v>
      </c>
      <c r="R1343" s="10" t="s">
        <v>7283</v>
      </c>
      <c r="S1343" s="11"/>
      <c r="T1343" s="6"/>
      <c r="U1343" s="28" t="str">
        <f>HYPERLINK("https://media.infra-m.ru/1168/1168666/cover/1168666.jpg", "Обложка")</f>
        <v>Обложка</v>
      </c>
      <c r="V1343" s="28" t="str">
        <f>HYPERLINK("https://znanium.com/catalog/product/1168666", "Ознакомиться")</f>
        <v>Ознакомиться</v>
      </c>
      <c r="W1343" s="8" t="s">
        <v>7284</v>
      </c>
      <c r="X1343" s="6"/>
      <c r="Y1343" s="6"/>
      <c r="Z1343" s="6"/>
      <c r="AA1343" s="6" t="s">
        <v>148</v>
      </c>
    </row>
    <row r="1344" spans="1:27" s="4" customFormat="1" ht="51.95" customHeight="1">
      <c r="A1344" s="5">
        <v>0</v>
      </c>
      <c r="B1344" s="6" t="s">
        <v>7285</v>
      </c>
      <c r="C1344" s="13">
        <v>1034</v>
      </c>
      <c r="D1344" s="8" t="s">
        <v>7286</v>
      </c>
      <c r="E1344" s="8" t="s">
        <v>7287</v>
      </c>
      <c r="F1344" s="8" t="s">
        <v>7288</v>
      </c>
      <c r="G1344" s="6" t="s">
        <v>58</v>
      </c>
      <c r="H1344" s="6" t="s">
        <v>52</v>
      </c>
      <c r="I1344" s="8" t="s">
        <v>316</v>
      </c>
      <c r="J1344" s="9">
        <v>1</v>
      </c>
      <c r="K1344" s="9">
        <v>224</v>
      </c>
      <c r="L1344" s="9">
        <v>2024</v>
      </c>
      <c r="M1344" s="8" t="s">
        <v>7289</v>
      </c>
      <c r="N1344" s="8" t="s">
        <v>40</v>
      </c>
      <c r="O1344" s="8" t="s">
        <v>41</v>
      </c>
      <c r="P1344" s="6" t="s">
        <v>75</v>
      </c>
      <c r="Q1344" s="8" t="s">
        <v>157</v>
      </c>
      <c r="R1344" s="10" t="s">
        <v>7290</v>
      </c>
      <c r="S1344" s="11"/>
      <c r="T1344" s="6"/>
      <c r="U1344" s="28" t="str">
        <f>HYPERLINK("https://media.infra-m.ru/1981/1981698/cover/1981698.jpg", "Обложка")</f>
        <v>Обложка</v>
      </c>
      <c r="V1344" s="28" t="str">
        <f>HYPERLINK("https://znanium.com/catalog/product/959953", "Ознакомиться")</f>
        <v>Ознакомиться</v>
      </c>
      <c r="W1344" s="8" t="s">
        <v>7291</v>
      </c>
      <c r="X1344" s="6"/>
      <c r="Y1344" s="6"/>
      <c r="Z1344" s="6"/>
      <c r="AA1344" s="6" t="s">
        <v>289</v>
      </c>
    </row>
    <row r="1345" spans="1:27" s="4" customFormat="1" ht="51.95" customHeight="1">
      <c r="A1345" s="5">
        <v>0</v>
      </c>
      <c r="B1345" s="6" t="s">
        <v>7292</v>
      </c>
      <c r="C1345" s="13">
        <v>1030</v>
      </c>
      <c r="D1345" s="8" t="s">
        <v>7293</v>
      </c>
      <c r="E1345" s="8" t="s">
        <v>7294</v>
      </c>
      <c r="F1345" s="8" t="s">
        <v>2125</v>
      </c>
      <c r="G1345" s="6" t="s">
        <v>51</v>
      </c>
      <c r="H1345" s="6" t="s">
        <v>38</v>
      </c>
      <c r="I1345" s="8" t="s">
        <v>1087</v>
      </c>
      <c r="J1345" s="9">
        <v>1</v>
      </c>
      <c r="K1345" s="9">
        <v>256</v>
      </c>
      <c r="L1345" s="9">
        <v>2023</v>
      </c>
      <c r="M1345" s="8" t="s">
        <v>7295</v>
      </c>
      <c r="N1345" s="8" t="s">
        <v>40</v>
      </c>
      <c r="O1345" s="8" t="s">
        <v>41</v>
      </c>
      <c r="P1345" s="6" t="s">
        <v>523</v>
      </c>
      <c r="Q1345" s="8" t="s">
        <v>157</v>
      </c>
      <c r="R1345" s="10" t="s">
        <v>7296</v>
      </c>
      <c r="S1345" s="11"/>
      <c r="T1345" s="6"/>
      <c r="U1345" s="28" t="str">
        <f>HYPERLINK("https://media.infra-m.ru/2009/2009624/cover/2009624.jpg", "Обложка")</f>
        <v>Обложка</v>
      </c>
      <c r="V1345" s="28" t="str">
        <f>HYPERLINK("https://znanium.com/catalog/product/1912892", "Ознакомиться")</f>
        <v>Ознакомиться</v>
      </c>
      <c r="W1345" s="8" t="s">
        <v>78</v>
      </c>
      <c r="X1345" s="6"/>
      <c r="Y1345" s="6"/>
      <c r="Z1345" s="6"/>
      <c r="AA1345" s="6" t="s">
        <v>2127</v>
      </c>
    </row>
    <row r="1346" spans="1:27" s="4" customFormat="1" ht="42" customHeight="1">
      <c r="A1346" s="5">
        <v>0</v>
      </c>
      <c r="B1346" s="6" t="s">
        <v>7297</v>
      </c>
      <c r="C1346" s="13">
        <v>1080</v>
      </c>
      <c r="D1346" s="8" t="s">
        <v>7298</v>
      </c>
      <c r="E1346" s="8" t="s">
        <v>7299</v>
      </c>
      <c r="F1346" s="8" t="s">
        <v>7300</v>
      </c>
      <c r="G1346" s="6" t="s">
        <v>37</v>
      </c>
      <c r="H1346" s="6" t="s">
        <v>38</v>
      </c>
      <c r="I1346" s="8"/>
      <c r="J1346" s="9">
        <v>1</v>
      </c>
      <c r="K1346" s="9">
        <v>240</v>
      </c>
      <c r="L1346" s="9">
        <v>2023</v>
      </c>
      <c r="M1346" s="8" t="s">
        <v>7301</v>
      </c>
      <c r="N1346" s="8" t="s">
        <v>40</v>
      </c>
      <c r="O1346" s="8" t="s">
        <v>41</v>
      </c>
      <c r="P1346" s="6" t="s">
        <v>42</v>
      </c>
      <c r="Q1346" s="8" t="s">
        <v>43</v>
      </c>
      <c r="R1346" s="10" t="s">
        <v>69</v>
      </c>
      <c r="S1346" s="11"/>
      <c r="T1346" s="6"/>
      <c r="U1346" s="28" t="str">
        <f>HYPERLINK("https://media.infra-m.ru/1975/1975145/cover/1975145.jpg", "Обложка")</f>
        <v>Обложка</v>
      </c>
      <c r="V1346" s="28" t="str">
        <f>HYPERLINK("https://znanium.com/catalog/product/1975145", "Ознакомиться")</f>
        <v>Ознакомиться</v>
      </c>
      <c r="W1346" s="8" t="s">
        <v>78</v>
      </c>
      <c r="X1346" s="6"/>
      <c r="Y1346" s="6"/>
      <c r="Z1346" s="6"/>
      <c r="AA1346" s="6" t="s">
        <v>88</v>
      </c>
    </row>
    <row r="1347" spans="1:27" s="4" customFormat="1" ht="42" customHeight="1">
      <c r="A1347" s="5">
        <v>0</v>
      </c>
      <c r="B1347" s="6" t="s">
        <v>7302</v>
      </c>
      <c r="C1347" s="7">
        <v>810</v>
      </c>
      <c r="D1347" s="8" t="s">
        <v>7303</v>
      </c>
      <c r="E1347" s="8" t="s">
        <v>7304</v>
      </c>
      <c r="F1347" s="8" t="s">
        <v>7305</v>
      </c>
      <c r="G1347" s="6" t="s">
        <v>58</v>
      </c>
      <c r="H1347" s="6" t="s">
        <v>38</v>
      </c>
      <c r="I1347" s="8"/>
      <c r="J1347" s="9">
        <v>1</v>
      </c>
      <c r="K1347" s="9">
        <v>160</v>
      </c>
      <c r="L1347" s="9">
        <v>2023</v>
      </c>
      <c r="M1347" s="8" t="s">
        <v>7306</v>
      </c>
      <c r="N1347" s="8" t="s">
        <v>40</v>
      </c>
      <c r="O1347" s="8" t="s">
        <v>41</v>
      </c>
      <c r="P1347" s="6" t="s">
        <v>42</v>
      </c>
      <c r="Q1347" s="8" t="s">
        <v>43</v>
      </c>
      <c r="R1347" s="10" t="s">
        <v>1054</v>
      </c>
      <c r="S1347" s="11"/>
      <c r="T1347" s="6"/>
      <c r="U1347" s="28" t="str">
        <f>HYPERLINK("https://media.infra-m.ru/1958/1958345/cover/1958345.jpg", "Обложка")</f>
        <v>Обложка</v>
      </c>
      <c r="V1347" s="28" t="str">
        <f>HYPERLINK("https://znanium.com/catalog/product/1958345", "Ознакомиться")</f>
        <v>Ознакомиться</v>
      </c>
      <c r="W1347" s="8" t="s">
        <v>124</v>
      </c>
      <c r="X1347" s="6" t="s">
        <v>645</v>
      </c>
      <c r="Y1347" s="6"/>
      <c r="Z1347" s="6"/>
      <c r="AA1347" s="6" t="s">
        <v>137</v>
      </c>
    </row>
    <row r="1348" spans="1:27" s="4" customFormat="1" ht="33" customHeight="1">
      <c r="A1348" s="5">
        <v>0</v>
      </c>
      <c r="B1348" s="6" t="s">
        <v>7307</v>
      </c>
      <c r="C1348" s="7">
        <v>790</v>
      </c>
      <c r="D1348" s="8" t="s">
        <v>7308</v>
      </c>
      <c r="E1348" s="8" t="s">
        <v>7309</v>
      </c>
      <c r="F1348" s="8" t="s">
        <v>7305</v>
      </c>
      <c r="G1348" s="6" t="s">
        <v>51</v>
      </c>
      <c r="H1348" s="6" t="s">
        <v>38</v>
      </c>
      <c r="I1348" s="8"/>
      <c r="J1348" s="9">
        <v>1</v>
      </c>
      <c r="K1348" s="9">
        <v>176</v>
      </c>
      <c r="L1348" s="9">
        <v>2023</v>
      </c>
      <c r="M1348" s="8" t="s">
        <v>7310</v>
      </c>
      <c r="N1348" s="8" t="s">
        <v>40</v>
      </c>
      <c r="O1348" s="8" t="s">
        <v>41</v>
      </c>
      <c r="P1348" s="6" t="s">
        <v>42</v>
      </c>
      <c r="Q1348" s="8" t="s">
        <v>43</v>
      </c>
      <c r="R1348" s="10" t="s">
        <v>1054</v>
      </c>
      <c r="S1348" s="11"/>
      <c r="T1348" s="6"/>
      <c r="U1348" s="12"/>
      <c r="V1348" s="28" t="str">
        <f>HYPERLINK("https://znanium.com/catalog/product/1958345", "Ознакомиться")</f>
        <v>Ознакомиться</v>
      </c>
      <c r="W1348" s="8" t="s">
        <v>124</v>
      </c>
      <c r="X1348" s="6"/>
      <c r="Y1348" s="6"/>
      <c r="Z1348" s="6"/>
      <c r="AA1348" s="6" t="s">
        <v>422</v>
      </c>
    </row>
    <row r="1349" spans="1:27" s="4" customFormat="1" ht="42" customHeight="1">
      <c r="A1349" s="5">
        <v>0</v>
      </c>
      <c r="B1349" s="6" t="s">
        <v>7311</v>
      </c>
      <c r="C1349" s="7">
        <v>650</v>
      </c>
      <c r="D1349" s="8" t="s">
        <v>7312</v>
      </c>
      <c r="E1349" s="8" t="s">
        <v>7313</v>
      </c>
      <c r="F1349" s="8" t="s">
        <v>7314</v>
      </c>
      <c r="G1349" s="6" t="s">
        <v>51</v>
      </c>
      <c r="H1349" s="6" t="s">
        <v>84</v>
      </c>
      <c r="I1349" s="8" t="s">
        <v>251</v>
      </c>
      <c r="J1349" s="9">
        <v>1</v>
      </c>
      <c r="K1349" s="9">
        <v>177</v>
      </c>
      <c r="L1349" s="9">
        <v>2021</v>
      </c>
      <c r="M1349" s="8" t="s">
        <v>7315</v>
      </c>
      <c r="N1349" s="8" t="s">
        <v>40</v>
      </c>
      <c r="O1349" s="8" t="s">
        <v>41</v>
      </c>
      <c r="P1349" s="6" t="s">
        <v>42</v>
      </c>
      <c r="Q1349" s="8" t="s">
        <v>43</v>
      </c>
      <c r="R1349" s="10" t="s">
        <v>304</v>
      </c>
      <c r="S1349" s="11"/>
      <c r="T1349" s="6"/>
      <c r="U1349" s="28" t="str">
        <f>HYPERLINK("https://media.infra-m.ru/1209/1209849/cover/1209849.jpg", "Обложка")</f>
        <v>Обложка</v>
      </c>
      <c r="V1349" s="28" t="str">
        <f>HYPERLINK("https://znanium.com/catalog/product/1209849", "Ознакомиться")</f>
        <v>Ознакомиться</v>
      </c>
      <c r="W1349" s="8" t="s">
        <v>7316</v>
      </c>
      <c r="X1349" s="6"/>
      <c r="Y1349" s="6"/>
      <c r="Z1349" s="6"/>
      <c r="AA1349" s="6" t="s">
        <v>46</v>
      </c>
    </row>
    <row r="1350" spans="1:27" s="4" customFormat="1" ht="44.1" customHeight="1">
      <c r="A1350" s="5">
        <v>0</v>
      </c>
      <c r="B1350" s="6" t="s">
        <v>7317</v>
      </c>
      <c r="C1350" s="7">
        <v>854.9</v>
      </c>
      <c r="D1350" s="8" t="s">
        <v>7318</v>
      </c>
      <c r="E1350" s="8" t="s">
        <v>7319</v>
      </c>
      <c r="F1350" s="8" t="s">
        <v>7320</v>
      </c>
      <c r="G1350" s="6" t="s">
        <v>51</v>
      </c>
      <c r="H1350" s="6" t="s">
        <v>38</v>
      </c>
      <c r="I1350" s="8"/>
      <c r="J1350" s="9">
        <v>1</v>
      </c>
      <c r="K1350" s="9">
        <v>224</v>
      </c>
      <c r="L1350" s="9">
        <v>2022</v>
      </c>
      <c r="M1350" s="8" t="s">
        <v>7321</v>
      </c>
      <c r="N1350" s="8" t="s">
        <v>40</v>
      </c>
      <c r="O1350" s="8" t="s">
        <v>41</v>
      </c>
      <c r="P1350" s="6" t="s">
        <v>42</v>
      </c>
      <c r="Q1350" s="8" t="s">
        <v>296</v>
      </c>
      <c r="R1350" s="10" t="s">
        <v>1054</v>
      </c>
      <c r="S1350" s="11"/>
      <c r="T1350" s="6"/>
      <c r="U1350" s="12"/>
      <c r="V1350" s="28" t="str">
        <f>HYPERLINK("https://znanium.com/catalog/product/1425536", "Ознакомиться")</f>
        <v>Ознакомиться</v>
      </c>
      <c r="W1350" s="8" t="s">
        <v>114</v>
      </c>
      <c r="X1350" s="6"/>
      <c r="Y1350" s="6"/>
      <c r="Z1350" s="6"/>
      <c r="AA1350" s="6" t="s">
        <v>88</v>
      </c>
    </row>
    <row r="1351" spans="1:27" s="4" customFormat="1" ht="51.95" customHeight="1">
      <c r="A1351" s="5">
        <v>0</v>
      </c>
      <c r="B1351" s="6" t="s">
        <v>7322</v>
      </c>
      <c r="C1351" s="13">
        <v>1760</v>
      </c>
      <c r="D1351" s="8" t="s">
        <v>7323</v>
      </c>
      <c r="E1351" s="8" t="s">
        <v>7294</v>
      </c>
      <c r="F1351" s="8" t="s">
        <v>4012</v>
      </c>
      <c r="G1351" s="6" t="s">
        <v>58</v>
      </c>
      <c r="H1351" s="6" t="s">
        <v>52</v>
      </c>
      <c r="I1351" s="8"/>
      <c r="J1351" s="9">
        <v>1</v>
      </c>
      <c r="K1351" s="9">
        <v>602</v>
      </c>
      <c r="L1351" s="9">
        <v>2017</v>
      </c>
      <c r="M1351" s="8" t="s">
        <v>7324</v>
      </c>
      <c r="N1351" s="8" t="s">
        <v>40</v>
      </c>
      <c r="O1351" s="8" t="s">
        <v>41</v>
      </c>
      <c r="P1351" s="6" t="s">
        <v>95</v>
      </c>
      <c r="Q1351" s="8" t="s">
        <v>157</v>
      </c>
      <c r="R1351" s="10" t="s">
        <v>7283</v>
      </c>
      <c r="S1351" s="11"/>
      <c r="T1351" s="6"/>
      <c r="U1351" s="28" t="str">
        <f>HYPERLINK("https://media.infra-m.ru/0766/0766742/cover/766742.jpg", "Обложка")</f>
        <v>Обложка</v>
      </c>
      <c r="V1351" s="28" t="str">
        <f>HYPERLINK("https://znanium.com/catalog/product/993657", "Ознакомиться")</f>
        <v>Ознакомиться</v>
      </c>
      <c r="W1351" s="8"/>
      <c r="X1351" s="6"/>
      <c r="Y1351" s="6"/>
      <c r="Z1351" s="6"/>
      <c r="AA1351" s="6" t="s">
        <v>148</v>
      </c>
    </row>
    <row r="1352" spans="1:27" s="4" customFormat="1" ht="51.95" customHeight="1">
      <c r="A1352" s="5">
        <v>0</v>
      </c>
      <c r="B1352" s="6" t="s">
        <v>7325</v>
      </c>
      <c r="C1352" s="13">
        <v>1910</v>
      </c>
      <c r="D1352" s="8" t="s">
        <v>7326</v>
      </c>
      <c r="E1352" s="8" t="s">
        <v>7294</v>
      </c>
      <c r="F1352" s="8" t="s">
        <v>882</v>
      </c>
      <c r="G1352" s="6" t="s">
        <v>37</v>
      </c>
      <c r="H1352" s="6" t="s">
        <v>52</v>
      </c>
      <c r="I1352" s="8" t="s">
        <v>2171</v>
      </c>
      <c r="J1352" s="9">
        <v>1</v>
      </c>
      <c r="K1352" s="9">
        <v>424</v>
      </c>
      <c r="L1352" s="9">
        <v>2023</v>
      </c>
      <c r="M1352" s="8" t="s">
        <v>7327</v>
      </c>
      <c r="N1352" s="8" t="s">
        <v>40</v>
      </c>
      <c r="O1352" s="8" t="s">
        <v>41</v>
      </c>
      <c r="P1352" s="6" t="s">
        <v>95</v>
      </c>
      <c r="Q1352" s="8" t="s">
        <v>680</v>
      </c>
      <c r="R1352" s="10" t="s">
        <v>7328</v>
      </c>
      <c r="S1352" s="11"/>
      <c r="T1352" s="6"/>
      <c r="U1352" s="12"/>
      <c r="V1352" s="12"/>
      <c r="W1352" s="8" t="s">
        <v>884</v>
      </c>
      <c r="X1352" s="6"/>
      <c r="Y1352" s="6"/>
      <c r="Z1352" s="6"/>
      <c r="AA1352" s="6" t="s">
        <v>343</v>
      </c>
    </row>
    <row r="1353" spans="1:27" s="4" customFormat="1" ht="51.95" customHeight="1">
      <c r="A1353" s="5">
        <v>0</v>
      </c>
      <c r="B1353" s="6" t="s">
        <v>7329</v>
      </c>
      <c r="C1353" s="7">
        <v>860</v>
      </c>
      <c r="D1353" s="8" t="s">
        <v>7330</v>
      </c>
      <c r="E1353" s="8" t="s">
        <v>7294</v>
      </c>
      <c r="F1353" s="8" t="s">
        <v>7305</v>
      </c>
      <c r="G1353" s="6" t="s">
        <v>37</v>
      </c>
      <c r="H1353" s="6" t="s">
        <v>38</v>
      </c>
      <c r="I1353" s="8"/>
      <c r="J1353" s="9">
        <v>1</v>
      </c>
      <c r="K1353" s="9">
        <v>192</v>
      </c>
      <c r="L1353" s="9">
        <v>2023</v>
      </c>
      <c r="M1353" s="8" t="s">
        <v>7331</v>
      </c>
      <c r="N1353" s="8" t="s">
        <v>40</v>
      </c>
      <c r="O1353" s="8" t="s">
        <v>41</v>
      </c>
      <c r="P1353" s="6" t="s">
        <v>95</v>
      </c>
      <c r="Q1353" s="8" t="s">
        <v>76</v>
      </c>
      <c r="R1353" s="10" t="s">
        <v>7332</v>
      </c>
      <c r="S1353" s="11"/>
      <c r="T1353" s="6"/>
      <c r="U1353" s="28" t="str">
        <f>HYPERLINK("https://media.infra-m.ru/1917/1917602/cover/1917602.jpg", "Обложка")</f>
        <v>Обложка</v>
      </c>
      <c r="V1353" s="28" t="str">
        <f>HYPERLINK("https://znanium.com/catalog/product/1917602", "Ознакомиться")</f>
        <v>Ознакомиться</v>
      </c>
      <c r="W1353" s="8" t="s">
        <v>124</v>
      </c>
      <c r="X1353" s="6"/>
      <c r="Y1353" s="6"/>
      <c r="Z1353" s="6"/>
      <c r="AA1353" s="6" t="s">
        <v>115</v>
      </c>
    </row>
    <row r="1354" spans="1:27" s="4" customFormat="1" ht="51.95" customHeight="1">
      <c r="A1354" s="5">
        <v>0</v>
      </c>
      <c r="B1354" s="6" t="s">
        <v>7333</v>
      </c>
      <c r="C1354" s="13">
        <v>1280</v>
      </c>
      <c r="D1354" s="8" t="s">
        <v>7334</v>
      </c>
      <c r="E1354" s="8" t="s">
        <v>7335</v>
      </c>
      <c r="F1354" s="8" t="s">
        <v>7336</v>
      </c>
      <c r="G1354" s="6" t="s">
        <v>37</v>
      </c>
      <c r="H1354" s="6" t="s">
        <v>84</v>
      </c>
      <c r="I1354" s="8" t="s">
        <v>185</v>
      </c>
      <c r="J1354" s="9">
        <v>1</v>
      </c>
      <c r="K1354" s="9">
        <v>336</v>
      </c>
      <c r="L1354" s="9">
        <v>2022</v>
      </c>
      <c r="M1354" s="8" t="s">
        <v>7337</v>
      </c>
      <c r="N1354" s="8" t="s">
        <v>40</v>
      </c>
      <c r="O1354" s="8" t="s">
        <v>41</v>
      </c>
      <c r="P1354" s="6" t="s">
        <v>95</v>
      </c>
      <c r="Q1354" s="8" t="s">
        <v>76</v>
      </c>
      <c r="R1354" s="10" t="s">
        <v>7332</v>
      </c>
      <c r="S1354" s="11" t="s">
        <v>7338</v>
      </c>
      <c r="T1354" s="6"/>
      <c r="U1354" s="28" t="str">
        <f>HYPERLINK("https://media.infra-m.ru/1844/1844270/cover/1844270.jpg", "Обложка")</f>
        <v>Обложка</v>
      </c>
      <c r="V1354" s="28" t="str">
        <f>HYPERLINK("https://znanium.com/catalog/product/1844270", "Ознакомиться")</f>
        <v>Ознакомиться</v>
      </c>
      <c r="W1354" s="8" t="s">
        <v>7339</v>
      </c>
      <c r="X1354" s="6"/>
      <c r="Y1354" s="6"/>
      <c r="Z1354" s="6"/>
      <c r="AA1354" s="6" t="s">
        <v>727</v>
      </c>
    </row>
    <row r="1355" spans="1:27" s="4" customFormat="1" ht="51.95" customHeight="1">
      <c r="A1355" s="5">
        <v>0</v>
      </c>
      <c r="B1355" s="6" t="s">
        <v>7340</v>
      </c>
      <c r="C1355" s="13">
        <v>2244</v>
      </c>
      <c r="D1355" s="8" t="s">
        <v>7341</v>
      </c>
      <c r="E1355" s="8" t="s">
        <v>7335</v>
      </c>
      <c r="F1355" s="8" t="s">
        <v>2125</v>
      </c>
      <c r="G1355" s="6" t="s">
        <v>58</v>
      </c>
      <c r="H1355" s="6" t="s">
        <v>38</v>
      </c>
      <c r="I1355" s="8"/>
      <c r="J1355" s="9">
        <v>1</v>
      </c>
      <c r="K1355" s="9">
        <v>848</v>
      </c>
      <c r="L1355" s="9">
        <v>2024</v>
      </c>
      <c r="M1355" s="8" t="s">
        <v>7342</v>
      </c>
      <c r="N1355" s="8" t="s">
        <v>40</v>
      </c>
      <c r="O1355" s="8" t="s">
        <v>41</v>
      </c>
      <c r="P1355" s="6" t="s">
        <v>95</v>
      </c>
      <c r="Q1355" s="8" t="s">
        <v>76</v>
      </c>
      <c r="R1355" s="10" t="s">
        <v>7332</v>
      </c>
      <c r="S1355" s="11" t="s">
        <v>847</v>
      </c>
      <c r="T1355" s="6"/>
      <c r="U1355" s="28" t="str">
        <f>HYPERLINK("https://media.infra-m.ru/2114/2114321/cover/2114321.jpg", "Обложка")</f>
        <v>Обложка</v>
      </c>
      <c r="V1355" s="28" t="str">
        <f>HYPERLINK("https://znanium.com/catalog/product/1038336", "Ознакомиться")</f>
        <v>Ознакомиться</v>
      </c>
      <c r="W1355" s="8" t="s">
        <v>78</v>
      </c>
      <c r="X1355" s="6"/>
      <c r="Y1355" s="6"/>
      <c r="Z1355" s="6"/>
      <c r="AA1355" s="6" t="s">
        <v>2560</v>
      </c>
    </row>
    <row r="1356" spans="1:27" s="4" customFormat="1" ht="51.95" customHeight="1">
      <c r="A1356" s="5">
        <v>0</v>
      </c>
      <c r="B1356" s="6" t="s">
        <v>7343</v>
      </c>
      <c r="C1356" s="13">
        <v>2140</v>
      </c>
      <c r="D1356" s="8" t="s">
        <v>7344</v>
      </c>
      <c r="E1356" s="8" t="s">
        <v>7294</v>
      </c>
      <c r="F1356" s="8" t="s">
        <v>6765</v>
      </c>
      <c r="G1356" s="6" t="s">
        <v>37</v>
      </c>
      <c r="H1356" s="6" t="s">
        <v>84</v>
      </c>
      <c r="I1356" s="8" t="s">
        <v>358</v>
      </c>
      <c r="J1356" s="9">
        <v>1</v>
      </c>
      <c r="K1356" s="9">
        <v>474</v>
      </c>
      <c r="L1356" s="9">
        <v>2022</v>
      </c>
      <c r="M1356" s="8" t="s">
        <v>7345</v>
      </c>
      <c r="N1356" s="8" t="s">
        <v>40</v>
      </c>
      <c r="O1356" s="8" t="s">
        <v>41</v>
      </c>
      <c r="P1356" s="6" t="s">
        <v>75</v>
      </c>
      <c r="Q1356" s="8" t="s">
        <v>157</v>
      </c>
      <c r="R1356" s="10" t="s">
        <v>473</v>
      </c>
      <c r="S1356" s="11" t="s">
        <v>7346</v>
      </c>
      <c r="T1356" s="6"/>
      <c r="U1356" s="28" t="str">
        <f>HYPERLINK("https://media.infra-m.ru/1846/1846712/cover/1846712.jpg", "Обложка")</f>
        <v>Обложка</v>
      </c>
      <c r="V1356" s="28" t="str">
        <f>HYPERLINK("https://znanium.com/catalog/product/1846712", "Ознакомиться")</f>
        <v>Ознакомиться</v>
      </c>
      <c r="W1356" s="8" t="s">
        <v>334</v>
      </c>
      <c r="X1356" s="6"/>
      <c r="Y1356" s="6"/>
      <c r="Z1356" s="6"/>
      <c r="AA1356" s="6" t="s">
        <v>79</v>
      </c>
    </row>
    <row r="1357" spans="1:27" s="4" customFormat="1" ht="51.95" customHeight="1">
      <c r="A1357" s="5">
        <v>0</v>
      </c>
      <c r="B1357" s="6" t="s">
        <v>7347</v>
      </c>
      <c r="C1357" s="7">
        <v>584</v>
      </c>
      <c r="D1357" s="8" t="s">
        <v>7348</v>
      </c>
      <c r="E1357" s="8" t="s">
        <v>7349</v>
      </c>
      <c r="F1357" s="8" t="s">
        <v>7190</v>
      </c>
      <c r="G1357" s="6" t="s">
        <v>58</v>
      </c>
      <c r="H1357" s="6" t="s">
        <v>38</v>
      </c>
      <c r="I1357" s="8"/>
      <c r="J1357" s="9">
        <v>1</v>
      </c>
      <c r="K1357" s="9">
        <v>128</v>
      </c>
      <c r="L1357" s="9">
        <v>2023</v>
      </c>
      <c r="M1357" s="8" t="s">
        <v>7350</v>
      </c>
      <c r="N1357" s="8" t="s">
        <v>40</v>
      </c>
      <c r="O1357" s="8" t="s">
        <v>41</v>
      </c>
      <c r="P1357" s="6" t="s">
        <v>42</v>
      </c>
      <c r="Q1357" s="8" t="s">
        <v>43</v>
      </c>
      <c r="R1357" s="10" t="s">
        <v>5864</v>
      </c>
      <c r="S1357" s="11"/>
      <c r="T1357" s="6"/>
      <c r="U1357" s="28" t="str">
        <f>HYPERLINK("https://media.infra-m.ru/1984/1984928/cover/1984928.jpg", "Обложка")</f>
        <v>Обложка</v>
      </c>
      <c r="V1357" s="28" t="str">
        <f>HYPERLINK("https://znanium.com/catalog/product/1178770", "Ознакомиться")</f>
        <v>Ознакомиться</v>
      </c>
      <c r="W1357" s="8" t="s">
        <v>897</v>
      </c>
      <c r="X1357" s="6"/>
      <c r="Y1357" s="6"/>
      <c r="Z1357" s="6"/>
      <c r="AA1357" s="6" t="s">
        <v>62</v>
      </c>
    </row>
    <row r="1358" spans="1:27" s="4" customFormat="1" ht="51.95" customHeight="1">
      <c r="A1358" s="5">
        <v>0</v>
      </c>
      <c r="B1358" s="6" t="s">
        <v>7351</v>
      </c>
      <c r="C1358" s="13">
        <v>1904.9</v>
      </c>
      <c r="D1358" s="8" t="s">
        <v>7352</v>
      </c>
      <c r="E1358" s="8" t="s">
        <v>7353</v>
      </c>
      <c r="F1358" s="8" t="s">
        <v>7354</v>
      </c>
      <c r="G1358" s="6" t="s">
        <v>58</v>
      </c>
      <c r="H1358" s="6" t="s">
        <v>38</v>
      </c>
      <c r="I1358" s="8"/>
      <c r="J1358" s="9">
        <v>1</v>
      </c>
      <c r="K1358" s="9">
        <v>424</v>
      </c>
      <c r="L1358" s="9">
        <v>2023</v>
      </c>
      <c r="M1358" s="8" t="s">
        <v>7355</v>
      </c>
      <c r="N1358" s="8" t="s">
        <v>40</v>
      </c>
      <c r="O1358" s="8" t="s">
        <v>41</v>
      </c>
      <c r="P1358" s="6" t="s">
        <v>42</v>
      </c>
      <c r="Q1358" s="8" t="s">
        <v>43</v>
      </c>
      <c r="R1358" s="10" t="s">
        <v>7356</v>
      </c>
      <c r="S1358" s="11"/>
      <c r="T1358" s="6"/>
      <c r="U1358" s="28" t="str">
        <f>HYPERLINK("https://media.infra-m.ru/2030/2030888/cover/2030888.jpg", "Обложка")</f>
        <v>Обложка</v>
      </c>
      <c r="V1358" s="28" t="str">
        <f>HYPERLINK("https://znanium.com/catalog/product/1064457", "Ознакомиться")</f>
        <v>Ознакомиться</v>
      </c>
      <c r="W1358" s="8" t="s">
        <v>1692</v>
      </c>
      <c r="X1358" s="6"/>
      <c r="Y1358" s="6"/>
      <c r="Z1358" s="6"/>
      <c r="AA1358" s="6" t="s">
        <v>79</v>
      </c>
    </row>
    <row r="1359" spans="1:27" s="4" customFormat="1" ht="51.95" customHeight="1">
      <c r="A1359" s="5">
        <v>0</v>
      </c>
      <c r="B1359" s="6" t="s">
        <v>7357</v>
      </c>
      <c r="C1359" s="7">
        <v>970</v>
      </c>
      <c r="D1359" s="8" t="s">
        <v>7358</v>
      </c>
      <c r="E1359" s="8" t="s">
        <v>7359</v>
      </c>
      <c r="F1359" s="8" t="s">
        <v>2082</v>
      </c>
      <c r="G1359" s="6" t="s">
        <v>51</v>
      </c>
      <c r="H1359" s="6" t="s">
        <v>38</v>
      </c>
      <c r="I1359" s="8"/>
      <c r="J1359" s="9">
        <v>1</v>
      </c>
      <c r="K1359" s="9">
        <v>208</v>
      </c>
      <c r="L1359" s="9">
        <v>2024</v>
      </c>
      <c r="M1359" s="8" t="s">
        <v>7360</v>
      </c>
      <c r="N1359" s="8" t="s">
        <v>40</v>
      </c>
      <c r="O1359" s="8" t="s">
        <v>41</v>
      </c>
      <c r="P1359" s="6" t="s">
        <v>75</v>
      </c>
      <c r="Q1359" s="8" t="s">
        <v>157</v>
      </c>
      <c r="R1359" s="10" t="s">
        <v>122</v>
      </c>
      <c r="S1359" s="11"/>
      <c r="T1359" s="6"/>
      <c r="U1359" s="28" t="str">
        <f>HYPERLINK("https://media.infra-m.ru/2078/2078383/cover/2078383.jpg", "Обложка")</f>
        <v>Обложка</v>
      </c>
      <c r="V1359" s="28" t="str">
        <f>HYPERLINK("https://znanium.com/catalog/product/2078383", "Ознакомиться")</f>
        <v>Ознакомиться</v>
      </c>
      <c r="W1359" s="8" t="s">
        <v>114</v>
      </c>
      <c r="X1359" s="6"/>
      <c r="Y1359" s="6"/>
      <c r="Z1359" s="6"/>
      <c r="AA1359" s="6" t="s">
        <v>88</v>
      </c>
    </row>
    <row r="1360" spans="1:27" s="4" customFormat="1" ht="51.95" customHeight="1">
      <c r="A1360" s="5">
        <v>0</v>
      </c>
      <c r="B1360" s="6" t="s">
        <v>7361</v>
      </c>
      <c r="C1360" s="13">
        <v>1984.9</v>
      </c>
      <c r="D1360" s="8" t="s">
        <v>7362</v>
      </c>
      <c r="E1360" s="8" t="s">
        <v>7363</v>
      </c>
      <c r="F1360" s="8" t="s">
        <v>1559</v>
      </c>
      <c r="G1360" s="6" t="s">
        <v>58</v>
      </c>
      <c r="H1360" s="6" t="s">
        <v>38</v>
      </c>
      <c r="I1360" s="8"/>
      <c r="J1360" s="9">
        <v>1</v>
      </c>
      <c r="K1360" s="9">
        <v>472</v>
      </c>
      <c r="L1360" s="9">
        <v>2022</v>
      </c>
      <c r="M1360" s="8" t="s">
        <v>7364</v>
      </c>
      <c r="N1360" s="8" t="s">
        <v>40</v>
      </c>
      <c r="O1360" s="8" t="s">
        <v>41</v>
      </c>
      <c r="P1360" s="6" t="s">
        <v>42</v>
      </c>
      <c r="Q1360" s="8" t="s">
        <v>43</v>
      </c>
      <c r="R1360" s="10" t="s">
        <v>3810</v>
      </c>
      <c r="S1360" s="11"/>
      <c r="T1360" s="6"/>
      <c r="U1360" s="28" t="str">
        <f>HYPERLINK("https://media.infra-m.ru/1875/1875350/cover/1875350.jpg", "Обложка")</f>
        <v>Обложка</v>
      </c>
      <c r="V1360" s="28" t="str">
        <f>HYPERLINK("https://znanium.com/catalog/product/1194133", "Ознакомиться")</f>
        <v>Ознакомиться</v>
      </c>
      <c r="W1360" s="8" t="s">
        <v>1561</v>
      </c>
      <c r="X1360" s="6"/>
      <c r="Y1360" s="6"/>
      <c r="Z1360" s="6"/>
      <c r="AA1360" s="6" t="s">
        <v>79</v>
      </c>
    </row>
    <row r="1361" spans="1:27" s="4" customFormat="1" ht="51.95" customHeight="1">
      <c r="A1361" s="5">
        <v>0</v>
      </c>
      <c r="B1361" s="6" t="s">
        <v>7365</v>
      </c>
      <c r="C1361" s="13">
        <v>2320</v>
      </c>
      <c r="D1361" s="8" t="s">
        <v>7366</v>
      </c>
      <c r="E1361" s="8" t="s">
        <v>7367</v>
      </c>
      <c r="F1361" s="8" t="s">
        <v>7368</v>
      </c>
      <c r="G1361" s="6" t="s">
        <v>58</v>
      </c>
      <c r="H1361" s="6" t="s">
        <v>38</v>
      </c>
      <c r="I1361" s="8"/>
      <c r="J1361" s="9">
        <v>1</v>
      </c>
      <c r="K1361" s="9">
        <v>504</v>
      </c>
      <c r="L1361" s="9">
        <v>2023</v>
      </c>
      <c r="M1361" s="8" t="s">
        <v>7369</v>
      </c>
      <c r="N1361" s="8" t="s">
        <v>40</v>
      </c>
      <c r="O1361" s="8" t="s">
        <v>41</v>
      </c>
      <c r="P1361" s="6" t="s">
        <v>95</v>
      </c>
      <c r="Q1361" s="8" t="s">
        <v>76</v>
      </c>
      <c r="R1361" s="10" t="s">
        <v>7370</v>
      </c>
      <c r="S1361" s="11"/>
      <c r="T1361" s="6"/>
      <c r="U1361" s="28" t="str">
        <f>HYPERLINK("https://media.infra-m.ru/2053/2053974/cover/2053974.jpg", "Обложка")</f>
        <v>Обложка</v>
      </c>
      <c r="V1361" s="28" t="str">
        <f>HYPERLINK("https://znanium.com/catalog/product/2053974", "Ознакомиться")</f>
        <v>Ознакомиться</v>
      </c>
      <c r="W1361" s="8" t="s">
        <v>414</v>
      </c>
      <c r="X1361" s="6"/>
      <c r="Y1361" s="6"/>
      <c r="Z1361" s="6"/>
      <c r="AA1361" s="6" t="s">
        <v>7371</v>
      </c>
    </row>
    <row r="1362" spans="1:27" s="4" customFormat="1" ht="51.95" customHeight="1">
      <c r="A1362" s="5">
        <v>0</v>
      </c>
      <c r="B1362" s="6" t="s">
        <v>7372</v>
      </c>
      <c r="C1362" s="7">
        <v>874.9</v>
      </c>
      <c r="D1362" s="8" t="s">
        <v>7373</v>
      </c>
      <c r="E1362" s="8" t="s">
        <v>7374</v>
      </c>
      <c r="F1362" s="8" t="s">
        <v>7375</v>
      </c>
      <c r="G1362" s="6" t="s">
        <v>58</v>
      </c>
      <c r="H1362" s="6" t="s">
        <v>38</v>
      </c>
      <c r="I1362" s="8"/>
      <c r="J1362" s="9">
        <v>1</v>
      </c>
      <c r="K1362" s="9">
        <v>624</v>
      </c>
      <c r="L1362" s="9">
        <v>2016</v>
      </c>
      <c r="M1362" s="8" t="s">
        <v>7376</v>
      </c>
      <c r="N1362" s="8" t="s">
        <v>40</v>
      </c>
      <c r="O1362" s="8" t="s">
        <v>41</v>
      </c>
      <c r="P1362" s="6" t="s">
        <v>95</v>
      </c>
      <c r="Q1362" s="8" t="s">
        <v>76</v>
      </c>
      <c r="R1362" s="10" t="s">
        <v>7370</v>
      </c>
      <c r="S1362" s="11"/>
      <c r="T1362" s="6"/>
      <c r="U1362" s="28" t="str">
        <f>HYPERLINK("https://media.infra-m.ru/0552/0552513/cover/552513.jpg", "Обложка")</f>
        <v>Обложка</v>
      </c>
      <c r="V1362" s="28" t="str">
        <f>HYPERLINK("https://znanium.com/catalog/product/2053974", "Ознакомиться")</f>
        <v>Ознакомиться</v>
      </c>
      <c r="W1362" s="8" t="s">
        <v>414</v>
      </c>
      <c r="X1362" s="6"/>
      <c r="Y1362" s="6"/>
      <c r="Z1362" s="6"/>
      <c r="AA1362" s="6" t="s">
        <v>2622</v>
      </c>
    </row>
    <row r="1363" spans="1:27" s="4" customFormat="1" ht="42" customHeight="1">
      <c r="A1363" s="5">
        <v>0</v>
      </c>
      <c r="B1363" s="6" t="s">
        <v>7377</v>
      </c>
      <c r="C1363" s="13">
        <v>1224.9000000000001</v>
      </c>
      <c r="D1363" s="8" t="s">
        <v>7378</v>
      </c>
      <c r="E1363" s="8" t="s">
        <v>7379</v>
      </c>
      <c r="F1363" s="8" t="s">
        <v>7380</v>
      </c>
      <c r="G1363" s="6" t="s">
        <v>37</v>
      </c>
      <c r="H1363" s="6" t="s">
        <v>38</v>
      </c>
      <c r="I1363" s="8" t="s">
        <v>1166</v>
      </c>
      <c r="J1363" s="9">
        <v>1</v>
      </c>
      <c r="K1363" s="9">
        <v>272</v>
      </c>
      <c r="L1363" s="9">
        <v>2023</v>
      </c>
      <c r="M1363" s="8" t="s">
        <v>7381</v>
      </c>
      <c r="N1363" s="8" t="s">
        <v>40</v>
      </c>
      <c r="O1363" s="8" t="s">
        <v>41</v>
      </c>
      <c r="P1363" s="6" t="s">
        <v>95</v>
      </c>
      <c r="Q1363" s="8" t="s">
        <v>96</v>
      </c>
      <c r="R1363" s="10" t="s">
        <v>1671</v>
      </c>
      <c r="S1363" s="11"/>
      <c r="T1363" s="6"/>
      <c r="U1363" s="28" t="str">
        <f>HYPERLINK("https://media.infra-m.ru/1893/1893953/cover/1893953.jpg", "Обложка")</f>
        <v>Обложка</v>
      </c>
      <c r="V1363" s="28" t="str">
        <f>HYPERLINK("https://znanium.com/catalog/product/2066409", "Ознакомиться")</f>
        <v>Ознакомиться</v>
      </c>
      <c r="W1363" s="8" t="s">
        <v>114</v>
      </c>
      <c r="X1363" s="6"/>
      <c r="Y1363" s="6"/>
      <c r="Z1363" s="6"/>
      <c r="AA1363" s="6" t="s">
        <v>7382</v>
      </c>
    </row>
    <row r="1364" spans="1:27" s="4" customFormat="1" ht="42" customHeight="1">
      <c r="A1364" s="5">
        <v>0</v>
      </c>
      <c r="B1364" s="6" t="s">
        <v>7383</v>
      </c>
      <c r="C1364" s="13">
        <v>1220</v>
      </c>
      <c r="D1364" s="8" t="s">
        <v>7384</v>
      </c>
      <c r="E1364" s="8" t="s">
        <v>7385</v>
      </c>
      <c r="F1364" s="8" t="s">
        <v>7380</v>
      </c>
      <c r="G1364" s="6" t="s">
        <v>37</v>
      </c>
      <c r="H1364" s="6" t="s">
        <v>38</v>
      </c>
      <c r="I1364" s="8" t="s">
        <v>1166</v>
      </c>
      <c r="J1364" s="9">
        <v>1</v>
      </c>
      <c r="K1364" s="9">
        <v>256</v>
      </c>
      <c r="L1364" s="9">
        <v>2023</v>
      </c>
      <c r="M1364" s="8" t="s">
        <v>7386</v>
      </c>
      <c r="N1364" s="8" t="s">
        <v>40</v>
      </c>
      <c r="O1364" s="8" t="s">
        <v>41</v>
      </c>
      <c r="P1364" s="6" t="s">
        <v>95</v>
      </c>
      <c r="Q1364" s="8" t="s">
        <v>96</v>
      </c>
      <c r="R1364" s="10" t="s">
        <v>1671</v>
      </c>
      <c r="S1364" s="11"/>
      <c r="T1364" s="6"/>
      <c r="U1364" s="28" t="str">
        <f>HYPERLINK("https://media.infra-m.ru/2066/2066409/cover/2066409.jpg", "Обложка")</f>
        <v>Обложка</v>
      </c>
      <c r="V1364" s="28" t="str">
        <f>HYPERLINK("https://znanium.com/catalog/product/2066409", "Ознакомиться")</f>
        <v>Ознакомиться</v>
      </c>
      <c r="W1364" s="8" t="s">
        <v>114</v>
      </c>
      <c r="X1364" s="6" t="s">
        <v>475</v>
      </c>
      <c r="Y1364" s="6"/>
      <c r="Z1364" s="6"/>
      <c r="AA1364" s="6" t="s">
        <v>7387</v>
      </c>
    </row>
    <row r="1365" spans="1:27" s="4" customFormat="1" ht="51.95" customHeight="1">
      <c r="A1365" s="5">
        <v>0</v>
      </c>
      <c r="B1365" s="6" t="s">
        <v>7388</v>
      </c>
      <c r="C1365" s="13">
        <v>2074</v>
      </c>
      <c r="D1365" s="8" t="s">
        <v>7389</v>
      </c>
      <c r="E1365" s="8" t="s">
        <v>7390</v>
      </c>
      <c r="F1365" s="8" t="s">
        <v>7391</v>
      </c>
      <c r="G1365" s="6" t="s">
        <v>58</v>
      </c>
      <c r="H1365" s="6" t="s">
        <v>38</v>
      </c>
      <c r="I1365" s="8"/>
      <c r="J1365" s="9">
        <v>1</v>
      </c>
      <c r="K1365" s="9">
        <v>648</v>
      </c>
      <c r="L1365" s="9">
        <v>2024</v>
      </c>
      <c r="M1365" s="8" t="s">
        <v>7392</v>
      </c>
      <c r="N1365" s="8" t="s">
        <v>40</v>
      </c>
      <c r="O1365" s="8" t="s">
        <v>41</v>
      </c>
      <c r="P1365" s="6" t="s">
        <v>95</v>
      </c>
      <c r="Q1365" s="8" t="s">
        <v>76</v>
      </c>
      <c r="R1365" s="10" t="s">
        <v>7393</v>
      </c>
      <c r="S1365" s="11" t="s">
        <v>2604</v>
      </c>
      <c r="T1365" s="6"/>
      <c r="U1365" s="28" t="str">
        <f>HYPERLINK("https://media.infra-m.ru/1893/1893955/cover/1893955.jpg", "Обложка")</f>
        <v>Обложка</v>
      </c>
      <c r="V1365" s="28" t="str">
        <f>HYPERLINK("https://znanium.com/catalog/product/1092466", "Ознакомиться")</f>
        <v>Ознакомиться</v>
      </c>
      <c r="W1365" s="8" t="s">
        <v>4665</v>
      </c>
      <c r="X1365" s="6"/>
      <c r="Y1365" s="6"/>
      <c r="Z1365" s="6"/>
      <c r="AA1365" s="6" t="s">
        <v>2437</v>
      </c>
    </row>
    <row r="1366" spans="1:27" s="4" customFormat="1" ht="51.95" customHeight="1">
      <c r="A1366" s="5">
        <v>0</v>
      </c>
      <c r="B1366" s="6" t="s">
        <v>7394</v>
      </c>
      <c r="C1366" s="13">
        <v>2224</v>
      </c>
      <c r="D1366" s="8" t="s">
        <v>7395</v>
      </c>
      <c r="E1366" s="8" t="s">
        <v>7385</v>
      </c>
      <c r="F1366" s="8" t="s">
        <v>7396</v>
      </c>
      <c r="G1366" s="6" t="s">
        <v>37</v>
      </c>
      <c r="H1366" s="6" t="s">
        <v>38</v>
      </c>
      <c r="I1366" s="8"/>
      <c r="J1366" s="9">
        <v>1</v>
      </c>
      <c r="K1366" s="9">
        <v>800</v>
      </c>
      <c r="L1366" s="9">
        <v>2023</v>
      </c>
      <c r="M1366" s="8" t="s">
        <v>7397</v>
      </c>
      <c r="N1366" s="8" t="s">
        <v>40</v>
      </c>
      <c r="O1366" s="8" t="s">
        <v>41</v>
      </c>
      <c r="P1366" s="6" t="s">
        <v>95</v>
      </c>
      <c r="Q1366" s="8" t="s">
        <v>76</v>
      </c>
      <c r="R1366" s="10" t="s">
        <v>1900</v>
      </c>
      <c r="S1366" s="11" t="s">
        <v>7398</v>
      </c>
      <c r="T1366" s="6"/>
      <c r="U1366" s="28" t="str">
        <f>HYPERLINK("https://media.infra-m.ru/1906/1906068/cover/1906068.jpg", "Обложка")</f>
        <v>Обложка</v>
      </c>
      <c r="V1366" s="28" t="str">
        <f>HYPERLINK("https://znanium.com/catalog/product/1008406", "Ознакомиться")</f>
        <v>Ознакомиться</v>
      </c>
      <c r="W1366" s="8" t="s">
        <v>7399</v>
      </c>
      <c r="X1366" s="6"/>
      <c r="Y1366" s="6"/>
      <c r="Z1366" s="6"/>
      <c r="AA1366" s="6" t="s">
        <v>6725</v>
      </c>
    </row>
    <row r="1367" spans="1:27" s="4" customFormat="1" ht="51.95" customHeight="1">
      <c r="A1367" s="5">
        <v>0</v>
      </c>
      <c r="B1367" s="6" t="s">
        <v>7400</v>
      </c>
      <c r="C1367" s="7">
        <v>800</v>
      </c>
      <c r="D1367" s="8" t="s">
        <v>7401</v>
      </c>
      <c r="E1367" s="8" t="s">
        <v>7402</v>
      </c>
      <c r="F1367" s="8" t="s">
        <v>7403</v>
      </c>
      <c r="G1367" s="6" t="s">
        <v>37</v>
      </c>
      <c r="H1367" s="6" t="s">
        <v>52</v>
      </c>
      <c r="I1367" s="8"/>
      <c r="J1367" s="9">
        <v>1</v>
      </c>
      <c r="K1367" s="9">
        <v>176</v>
      </c>
      <c r="L1367" s="9">
        <v>2022</v>
      </c>
      <c r="M1367" s="8" t="s">
        <v>7404</v>
      </c>
      <c r="N1367" s="8" t="s">
        <v>40</v>
      </c>
      <c r="O1367" s="8" t="s">
        <v>41</v>
      </c>
      <c r="P1367" s="6" t="s">
        <v>75</v>
      </c>
      <c r="Q1367" s="8" t="s">
        <v>76</v>
      </c>
      <c r="R1367" s="10" t="s">
        <v>3255</v>
      </c>
      <c r="S1367" s="11" t="s">
        <v>7405</v>
      </c>
      <c r="T1367" s="6"/>
      <c r="U1367" s="28" t="str">
        <f>HYPERLINK("https://media.infra-m.ru/1949/1949065/cover/1949065.jpg", "Обложка")</f>
        <v>Обложка</v>
      </c>
      <c r="V1367" s="28" t="str">
        <f>HYPERLINK("https://znanium.com/catalog/product/1911128", "Ознакомиться")</f>
        <v>Ознакомиться</v>
      </c>
      <c r="W1367" s="8" t="s">
        <v>458</v>
      </c>
      <c r="X1367" s="6"/>
      <c r="Y1367" s="6"/>
      <c r="Z1367" s="6"/>
      <c r="AA1367" s="6" t="s">
        <v>298</v>
      </c>
    </row>
    <row r="1368" spans="1:27" s="4" customFormat="1" ht="51.95" customHeight="1">
      <c r="A1368" s="5">
        <v>0</v>
      </c>
      <c r="B1368" s="6" t="s">
        <v>7406</v>
      </c>
      <c r="C1368" s="7">
        <v>974.9</v>
      </c>
      <c r="D1368" s="8" t="s">
        <v>7407</v>
      </c>
      <c r="E1368" s="8" t="s">
        <v>7408</v>
      </c>
      <c r="F1368" s="8" t="s">
        <v>7409</v>
      </c>
      <c r="G1368" s="6" t="s">
        <v>58</v>
      </c>
      <c r="H1368" s="6" t="s">
        <v>192</v>
      </c>
      <c r="I1368" s="8" t="s">
        <v>2171</v>
      </c>
      <c r="J1368" s="9">
        <v>1</v>
      </c>
      <c r="K1368" s="9">
        <v>288</v>
      </c>
      <c r="L1368" s="9">
        <v>2020</v>
      </c>
      <c r="M1368" s="8" t="s">
        <v>7410</v>
      </c>
      <c r="N1368" s="8" t="s">
        <v>40</v>
      </c>
      <c r="O1368" s="8" t="s">
        <v>41</v>
      </c>
      <c r="P1368" s="6" t="s">
        <v>75</v>
      </c>
      <c r="Q1368" s="8" t="s">
        <v>96</v>
      </c>
      <c r="R1368" s="10" t="s">
        <v>7411</v>
      </c>
      <c r="S1368" s="11" t="s">
        <v>7412</v>
      </c>
      <c r="T1368" s="6"/>
      <c r="U1368" s="28" t="str">
        <f>HYPERLINK("https://media.infra-m.ru/1052/1052235/cover/1052235.jpg", "Обложка")</f>
        <v>Обложка</v>
      </c>
      <c r="V1368" s="28" t="str">
        <f>HYPERLINK("https://znanium.com/catalog/product/1052235", "Ознакомиться")</f>
        <v>Ознакомиться</v>
      </c>
      <c r="W1368" s="8" t="s">
        <v>6192</v>
      </c>
      <c r="X1368" s="6"/>
      <c r="Y1368" s="6"/>
      <c r="Z1368" s="6"/>
      <c r="AA1368" s="6" t="s">
        <v>5321</v>
      </c>
    </row>
    <row r="1369" spans="1:27" s="4" customFormat="1" ht="42" customHeight="1">
      <c r="A1369" s="5">
        <v>0</v>
      </c>
      <c r="B1369" s="6" t="s">
        <v>7413</v>
      </c>
      <c r="C1369" s="7">
        <v>534.9</v>
      </c>
      <c r="D1369" s="8" t="s">
        <v>7414</v>
      </c>
      <c r="E1369" s="8" t="s">
        <v>7415</v>
      </c>
      <c r="F1369" s="8" t="s">
        <v>7416</v>
      </c>
      <c r="G1369" s="6" t="s">
        <v>51</v>
      </c>
      <c r="H1369" s="6" t="s">
        <v>84</v>
      </c>
      <c r="I1369" s="8" t="s">
        <v>85</v>
      </c>
      <c r="J1369" s="9">
        <v>1</v>
      </c>
      <c r="K1369" s="9">
        <v>152</v>
      </c>
      <c r="L1369" s="9">
        <v>2020</v>
      </c>
      <c r="M1369" s="8" t="s">
        <v>7417</v>
      </c>
      <c r="N1369" s="8" t="s">
        <v>40</v>
      </c>
      <c r="O1369" s="8" t="s">
        <v>41</v>
      </c>
      <c r="P1369" s="6" t="s">
        <v>811</v>
      </c>
      <c r="Q1369" s="8" t="s">
        <v>43</v>
      </c>
      <c r="R1369" s="10" t="s">
        <v>896</v>
      </c>
      <c r="S1369" s="11"/>
      <c r="T1369" s="6"/>
      <c r="U1369" s="28" t="str">
        <f>HYPERLINK("https://media.infra-m.ru/1047/1047149/cover/1047149.jpg", "Обложка")</f>
        <v>Обложка</v>
      </c>
      <c r="V1369" s="28" t="str">
        <f>HYPERLINK("https://znanium.com/catalog/product/1047149", "Ознакомиться")</f>
        <v>Ознакомиться</v>
      </c>
      <c r="W1369" s="8" t="s">
        <v>45</v>
      </c>
      <c r="X1369" s="6"/>
      <c r="Y1369" s="6"/>
      <c r="Z1369" s="6"/>
      <c r="AA1369" s="6" t="s">
        <v>88</v>
      </c>
    </row>
    <row r="1370" spans="1:27" s="4" customFormat="1" ht="51.95" customHeight="1">
      <c r="A1370" s="5">
        <v>0</v>
      </c>
      <c r="B1370" s="6" t="s">
        <v>7418</v>
      </c>
      <c r="C1370" s="13">
        <v>1024.9000000000001</v>
      </c>
      <c r="D1370" s="8" t="s">
        <v>7419</v>
      </c>
      <c r="E1370" s="8" t="s">
        <v>7420</v>
      </c>
      <c r="F1370" s="8" t="s">
        <v>7421</v>
      </c>
      <c r="G1370" s="6" t="s">
        <v>58</v>
      </c>
      <c r="H1370" s="6" t="s">
        <v>52</v>
      </c>
      <c r="I1370" s="8" t="s">
        <v>316</v>
      </c>
      <c r="J1370" s="9">
        <v>1</v>
      </c>
      <c r="K1370" s="9">
        <v>299</v>
      </c>
      <c r="L1370" s="9">
        <v>2020</v>
      </c>
      <c r="M1370" s="8" t="s">
        <v>7422</v>
      </c>
      <c r="N1370" s="8" t="s">
        <v>40</v>
      </c>
      <c r="O1370" s="8" t="s">
        <v>41</v>
      </c>
      <c r="P1370" s="6" t="s">
        <v>75</v>
      </c>
      <c r="Q1370" s="8" t="s">
        <v>76</v>
      </c>
      <c r="R1370" s="10" t="s">
        <v>7423</v>
      </c>
      <c r="S1370" s="11"/>
      <c r="T1370" s="6"/>
      <c r="U1370" s="28" t="str">
        <f>HYPERLINK("https://media.infra-m.ru/1036/1036581/cover/1036581.jpg", "Обложка")</f>
        <v>Обложка</v>
      </c>
      <c r="V1370" s="28" t="str">
        <f>HYPERLINK("https://znanium.com/catalog/product/1036581", "Ознакомиться")</f>
        <v>Ознакомиться</v>
      </c>
      <c r="W1370" s="8" t="s">
        <v>535</v>
      </c>
      <c r="X1370" s="6"/>
      <c r="Y1370" s="6"/>
      <c r="Z1370" s="6"/>
      <c r="AA1370" s="6" t="s">
        <v>415</v>
      </c>
    </row>
    <row r="1371" spans="1:27" s="4" customFormat="1" ht="42" customHeight="1">
      <c r="A1371" s="5">
        <v>0</v>
      </c>
      <c r="B1371" s="6" t="s">
        <v>7424</v>
      </c>
      <c r="C1371" s="7">
        <v>284.89999999999998</v>
      </c>
      <c r="D1371" s="8" t="s">
        <v>7425</v>
      </c>
      <c r="E1371" s="8" t="s">
        <v>7426</v>
      </c>
      <c r="F1371" s="8" t="s">
        <v>576</v>
      </c>
      <c r="G1371" s="6" t="s">
        <v>51</v>
      </c>
      <c r="H1371" s="6" t="s">
        <v>84</v>
      </c>
      <c r="I1371" s="8" t="s">
        <v>251</v>
      </c>
      <c r="J1371" s="9">
        <v>1</v>
      </c>
      <c r="K1371" s="9">
        <v>78</v>
      </c>
      <c r="L1371" s="9">
        <v>2021</v>
      </c>
      <c r="M1371" s="8" t="s">
        <v>7427</v>
      </c>
      <c r="N1371" s="8" t="s">
        <v>40</v>
      </c>
      <c r="O1371" s="8" t="s">
        <v>41</v>
      </c>
      <c r="P1371" s="6" t="s">
        <v>42</v>
      </c>
      <c r="Q1371" s="8" t="s">
        <v>43</v>
      </c>
      <c r="R1371" s="10" t="s">
        <v>7428</v>
      </c>
      <c r="S1371" s="11"/>
      <c r="T1371" s="6"/>
      <c r="U1371" s="28" t="str">
        <f>HYPERLINK("https://media.infra-m.ru/1208/1208484/cover/1208484.jpg", "Обложка")</f>
        <v>Обложка</v>
      </c>
      <c r="V1371" s="28" t="str">
        <f>HYPERLINK("https://znanium.com/catalog/product/1208484", "Ознакомиться")</f>
        <v>Ознакомиться</v>
      </c>
      <c r="W1371" s="8" t="s">
        <v>107</v>
      </c>
      <c r="X1371" s="6"/>
      <c r="Y1371" s="6"/>
      <c r="Z1371" s="6"/>
      <c r="AA1371" s="6" t="s">
        <v>415</v>
      </c>
    </row>
    <row r="1372" spans="1:27" s="4" customFormat="1" ht="42" customHeight="1">
      <c r="A1372" s="5">
        <v>0</v>
      </c>
      <c r="B1372" s="6" t="s">
        <v>7429</v>
      </c>
      <c r="C1372" s="7">
        <v>694</v>
      </c>
      <c r="D1372" s="8" t="s">
        <v>7430</v>
      </c>
      <c r="E1372" s="8" t="s">
        <v>7431</v>
      </c>
      <c r="F1372" s="8" t="s">
        <v>7432</v>
      </c>
      <c r="G1372" s="6" t="s">
        <v>51</v>
      </c>
      <c r="H1372" s="6" t="s">
        <v>84</v>
      </c>
      <c r="I1372" s="8" t="s">
        <v>251</v>
      </c>
      <c r="J1372" s="9">
        <v>1</v>
      </c>
      <c r="K1372" s="9">
        <v>152</v>
      </c>
      <c r="L1372" s="9">
        <v>2024</v>
      </c>
      <c r="M1372" s="8" t="s">
        <v>7433</v>
      </c>
      <c r="N1372" s="8" t="s">
        <v>40</v>
      </c>
      <c r="O1372" s="8" t="s">
        <v>41</v>
      </c>
      <c r="P1372" s="6" t="s">
        <v>42</v>
      </c>
      <c r="Q1372" s="8" t="s">
        <v>43</v>
      </c>
      <c r="R1372" s="10" t="s">
        <v>7428</v>
      </c>
      <c r="S1372" s="11"/>
      <c r="T1372" s="6"/>
      <c r="U1372" s="28" t="str">
        <f>HYPERLINK("https://media.infra-m.ru/2117/2117134/cover/2117134.jpg", "Обложка")</f>
        <v>Обложка</v>
      </c>
      <c r="V1372" s="28" t="str">
        <f>HYPERLINK("https://znanium.com/catalog/product/1059308", "Ознакомиться")</f>
        <v>Ознакомиться</v>
      </c>
      <c r="W1372" s="8" t="s">
        <v>107</v>
      </c>
      <c r="X1372" s="6"/>
      <c r="Y1372" s="6"/>
      <c r="Z1372" s="6"/>
      <c r="AA1372" s="6" t="s">
        <v>415</v>
      </c>
    </row>
    <row r="1373" spans="1:27" s="4" customFormat="1" ht="42" customHeight="1">
      <c r="A1373" s="5">
        <v>0</v>
      </c>
      <c r="B1373" s="6" t="s">
        <v>7434</v>
      </c>
      <c r="C1373" s="7">
        <v>874</v>
      </c>
      <c r="D1373" s="8" t="s">
        <v>7435</v>
      </c>
      <c r="E1373" s="8" t="s">
        <v>7436</v>
      </c>
      <c r="F1373" s="8" t="s">
        <v>7437</v>
      </c>
      <c r="G1373" s="6" t="s">
        <v>51</v>
      </c>
      <c r="H1373" s="6" t="s">
        <v>84</v>
      </c>
      <c r="I1373" s="8" t="s">
        <v>251</v>
      </c>
      <c r="J1373" s="9">
        <v>1</v>
      </c>
      <c r="K1373" s="9">
        <v>191</v>
      </c>
      <c r="L1373" s="9">
        <v>2024</v>
      </c>
      <c r="M1373" s="8" t="s">
        <v>7438</v>
      </c>
      <c r="N1373" s="8" t="s">
        <v>40</v>
      </c>
      <c r="O1373" s="8" t="s">
        <v>41</v>
      </c>
      <c r="P1373" s="6" t="s">
        <v>42</v>
      </c>
      <c r="Q1373" s="8" t="s">
        <v>43</v>
      </c>
      <c r="R1373" s="10" t="s">
        <v>7439</v>
      </c>
      <c r="S1373" s="11"/>
      <c r="T1373" s="6"/>
      <c r="U1373" s="28" t="str">
        <f>HYPERLINK("https://media.infra-m.ru/2113/2113866/cover/2113866.jpg", "Обложка")</f>
        <v>Обложка</v>
      </c>
      <c r="V1373" s="28" t="str">
        <f>HYPERLINK("https://znanium.com/catalog/product/1986589", "Ознакомиться")</f>
        <v>Ознакомиться</v>
      </c>
      <c r="W1373" s="8" t="s">
        <v>3088</v>
      </c>
      <c r="X1373" s="6"/>
      <c r="Y1373" s="6"/>
      <c r="Z1373" s="6"/>
      <c r="AA1373" s="6" t="s">
        <v>115</v>
      </c>
    </row>
    <row r="1374" spans="1:27" s="4" customFormat="1" ht="42" customHeight="1">
      <c r="A1374" s="5">
        <v>0</v>
      </c>
      <c r="B1374" s="6" t="s">
        <v>7440</v>
      </c>
      <c r="C1374" s="7">
        <v>624.9</v>
      </c>
      <c r="D1374" s="8" t="s">
        <v>7441</v>
      </c>
      <c r="E1374" s="8" t="s">
        <v>7442</v>
      </c>
      <c r="F1374" s="8" t="s">
        <v>7443</v>
      </c>
      <c r="G1374" s="6" t="s">
        <v>51</v>
      </c>
      <c r="H1374" s="6" t="s">
        <v>38</v>
      </c>
      <c r="I1374" s="8"/>
      <c r="J1374" s="9">
        <v>1</v>
      </c>
      <c r="K1374" s="9">
        <v>160</v>
      </c>
      <c r="L1374" s="9">
        <v>2022</v>
      </c>
      <c r="M1374" s="8" t="s">
        <v>7444</v>
      </c>
      <c r="N1374" s="8" t="s">
        <v>40</v>
      </c>
      <c r="O1374" s="8" t="s">
        <v>41</v>
      </c>
      <c r="P1374" s="6" t="s">
        <v>42</v>
      </c>
      <c r="Q1374" s="8" t="s">
        <v>43</v>
      </c>
      <c r="R1374" s="10" t="s">
        <v>304</v>
      </c>
      <c r="S1374" s="11"/>
      <c r="T1374" s="6"/>
      <c r="U1374" s="28" t="str">
        <f>HYPERLINK("https://media.infra-m.ru/1841/1841422/cover/1841422.jpg", "Обложка")</f>
        <v>Обложка</v>
      </c>
      <c r="V1374" s="28" t="str">
        <f>HYPERLINK("https://znanium.com/catalog/product/1841422", "Ознакомиться")</f>
        <v>Ознакомиться</v>
      </c>
      <c r="W1374" s="8" t="s">
        <v>700</v>
      </c>
      <c r="X1374" s="6"/>
      <c r="Y1374" s="6"/>
      <c r="Z1374" s="6"/>
      <c r="AA1374" s="6" t="s">
        <v>622</v>
      </c>
    </row>
    <row r="1375" spans="1:27" s="4" customFormat="1" ht="42" customHeight="1">
      <c r="A1375" s="5">
        <v>0</v>
      </c>
      <c r="B1375" s="6" t="s">
        <v>7445</v>
      </c>
      <c r="C1375" s="13">
        <v>1100</v>
      </c>
      <c r="D1375" s="8" t="s">
        <v>7446</v>
      </c>
      <c r="E1375" s="8" t="s">
        <v>7447</v>
      </c>
      <c r="F1375" s="8" t="s">
        <v>7448</v>
      </c>
      <c r="G1375" s="6" t="s">
        <v>37</v>
      </c>
      <c r="H1375" s="6" t="s">
        <v>38</v>
      </c>
      <c r="I1375" s="8"/>
      <c r="J1375" s="9">
        <v>1</v>
      </c>
      <c r="K1375" s="9">
        <v>240</v>
      </c>
      <c r="L1375" s="9">
        <v>2023</v>
      </c>
      <c r="M1375" s="8" t="s">
        <v>7449</v>
      </c>
      <c r="N1375" s="8" t="s">
        <v>40</v>
      </c>
      <c r="O1375" s="8" t="s">
        <v>41</v>
      </c>
      <c r="P1375" s="6" t="s">
        <v>42</v>
      </c>
      <c r="Q1375" s="8" t="s">
        <v>43</v>
      </c>
      <c r="R1375" s="10" t="s">
        <v>896</v>
      </c>
      <c r="S1375" s="11"/>
      <c r="T1375" s="6"/>
      <c r="U1375" s="28" t="str">
        <f>HYPERLINK("https://media.infra-m.ru/1976/1976050/cover/1976050.jpg", "Обложка")</f>
        <v>Обложка</v>
      </c>
      <c r="V1375" s="28" t="str">
        <f>HYPERLINK("https://znanium.com/catalog/product/1976050", "Ознакомиться")</f>
        <v>Ознакомиться</v>
      </c>
      <c r="W1375" s="8" t="s">
        <v>4183</v>
      </c>
      <c r="X1375" s="6"/>
      <c r="Y1375" s="6"/>
      <c r="Z1375" s="6"/>
      <c r="AA1375" s="6" t="s">
        <v>46</v>
      </c>
    </row>
    <row r="1376" spans="1:27" s="4" customFormat="1" ht="42" customHeight="1">
      <c r="A1376" s="5">
        <v>0</v>
      </c>
      <c r="B1376" s="6" t="s">
        <v>7450</v>
      </c>
      <c r="C1376" s="7">
        <v>670</v>
      </c>
      <c r="D1376" s="8" t="s">
        <v>7451</v>
      </c>
      <c r="E1376" s="8" t="s">
        <v>7452</v>
      </c>
      <c r="F1376" s="8" t="s">
        <v>7453</v>
      </c>
      <c r="G1376" s="6" t="s">
        <v>58</v>
      </c>
      <c r="H1376" s="6" t="s">
        <v>84</v>
      </c>
      <c r="I1376" s="8" t="s">
        <v>251</v>
      </c>
      <c r="J1376" s="9">
        <v>1</v>
      </c>
      <c r="K1376" s="9">
        <v>206</v>
      </c>
      <c r="L1376" s="9">
        <v>2018</v>
      </c>
      <c r="M1376" s="8" t="s">
        <v>7454</v>
      </c>
      <c r="N1376" s="8" t="s">
        <v>40</v>
      </c>
      <c r="O1376" s="8" t="s">
        <v>41</v>
      </c>
      <c r="P1376" s="6" t="s">
        <v>42</v>
      </c>
      <c r="Q1376" s="8" t="s">
        <v>43</v>
      </c>
      <c r="R1376" s="10" t="s">
        <v>113</v>
      </c>
      <c r="S1376" s="11"/>
      <c r="T1376" s="6"/>
      <c r="U1376" s="28" t="str">
        <f>HYPERLINK("https://media.infra-m.ru/0962/0962586/cover/962586.jpg", "Обложка")</f>
        <v>Обложка</v>
      </c>
      <c r="V1376" s="28" t="str">
        <f>HYPERLINK("https://znanium.com/catalog/product/962586", "Ознакомиться")</f>
        <v>Ознакомиться</v>
      </c>
      <c r="W1376" s="8" t="s">
        <v>503</v>
      </c>
      <c r="X1376" s="6"/>
      <c r="Y1376" s="6"/>
      <c r="Z1376" s="6"/>
      <c r="AA1376" s="6" t="s">
        <v>148</v>
      </c>
    </row>
    <row r="1377" spans="1:27" s="4" customFormat="1" ht="42" customHeight="1">
      <c r="A1377" s="5">
        <v>0</v>
      </c>
      <c r="B1377" s="6" t="s">
        <v>7455</v>
      </c>
      <c r="C1377" s="7">
        <v>840</v>
      </c>
      <c r="D1377" s="8" t="s">
        <v>7456</v>
      </c>
      <c r="E1377" s="8" t="s">
        <v>7457</v>
      </c>
      <c r="F1377" s="8" t="s">
        <v>7458</v>
      </c>
      <c r="G1377" s="6" t="s">
        <v>51</v>
      </c>
      <c r="H1377" s="6" t="s">
        <v>84</v>
      </c>
      <c r="I1377" s="8" t="s">
        <v>251</v>
      </c>
      <c r="J1377" s="9">
        <v>1</v>
      </c>
      <c r="K1377" s="9">
        <v>181</v>
      </c>
      <c r="L1377" s="9">
        <v>2024</v>
      </c>
      <c r="M1377" s="8" t="s">
        <v>7459</v>
      </c>
      <c r="N1377" s="8" t="s">
        <v>40</v>
      </c>
      <c r="O1377" s="8" t="s">
        <v>41</v>
      </c>
      <c r="P1377" s="6" t="s">
        <v>42</v>
      </c>
      <c r="Q1377" s="8" t="s">
        <v>43</v>
      </c>
      <c r="R1377" s="10" t="s">
        <v>7460</v>
      </c>
      <c r="S1377" s="11"/>
      <c r="T1377" s="6"/>
      <c r="U1377" s="28" t="str">
        <f>HYPERLINK("https://media.infra-m.ru/2117/2117129/cover/2117129.jpg", "Обложка")</f>
        <v>Обложка</v>
      </c>
      <c r="V1377" s="28" t="str">
        <f>HYPERLINK("https://znanium.com/catalog/product/2117129", "Ознакомиться")</f>
        <v>Ознакомиться</v>
      </c>
      <c r="W1377" s="8" t="s">
        <v>659</v>
      </c>
      <c r="X1377" s="6"/>
      <c r="Y1377" s="6"/>
      <c r="Z1377" s="6"/>
      <c r="AA1377" s="6" t="s">
        <v>46</v>
      </c>
    </row>
    <row r="1378" spans="1:27" s="4" customFormat="1" ht="44.1" customHeight="1">
      <c r="A1378" s="5">
        <v>0</v>
      </c>
      <c r="B1378" s="6" t="s">
        <v>7461</v>
      </c>
      <c r="C1378" s="7">
        <v>600</v>
      </c>
      <c r="D1378" s="8" t="s">
        <v>7462</v>
      </c>
      <c r="E1378" s="8" t="s">
        <v>7463</v>
      </c>
      <c r="F1378" s="8" t="s">
        <v>7464</v>
      </c>
      <c r="G1378" s="6" t="s">
        <v>51</v>
      </c>
      <c r="H1378" s="6" t="s">
        <v>84</v>
      </c>
      <c r="I1378" s="8" t="s">
        <v>85</v>
      </c>
      <c r="J1378" s="9">
        <v>1</v>
      </c>
      <c r="K1378" s="9">
        <v>176</v>
      </c>
      <c r="L1378" s="9">
        <v>2020</v>
      </c>
      <c r="M1378" s="8" t="s">
        <v>7465</v>
      </c>
      <c r="N1378" s="8" t="s">
        <v>40</v>
      </c>
      <c r="O1378" s="8" t="s">
        <v>41</v>
      </c>
      <c r="P1378" s="6" t="s">
        <v>811</v>
      </c>
      <c r="Q1378" s="8" t="s">
        <v>43</v>
      </c>
      <c r="R1378" s="10" t="s">
        <v>304</v>
      </c>
      <c r="S1378" s="11"/>
      <c r="T1378" s="6"/>
      <c r="U1378" s="28" t="str">
        <f>HYPERLINK("https://media.infra-m.ru/1081/1081862/cover/1081862.jpg", "Обложка")</f>
        <v>Обложка</v>
      </c>
      <c r="V1378" s="28" t="str">
        <f>HYPERLINK("https://znanium.com/catalog/product/1081862", "Ознакомиться")</f>
        <v>Ознакомиться</v>
      </c>
      <c r="W1378" s="8" t="s">
        <v>45</v>
      </c>
      <c r="X1378" s="6"/>
      <c r="Y1378" s="6"/>
      <c r="Z1378" s="6"/>
      <c r="AA1378" s="6" t="s">
        <v>298</v>
      </c>
    </row>
    <row r="1379" spans="1:27" s="4" customFormat="1" ht="44.1" customHeight="1">
      <c r="A1379" s="5">
        <v>0</v>
      </c>
      <c r="B1379" s="6" t="s">
        <v>7466</v>
      </c>
      <c r="C1379" s="13">
        <v>1220</v>
      </c>
      <c r="D1379" s="8" t="s">
        <v>7467</v>
      </c>
      <c r="E1379" s="8" t="s">
        <v>7468</v>
      </c>
      <c r="F1379" s="8" t="s">
        <v>7469</v>
      </c>
      <c r="G1379" s="6" t="s">
        <v>51</v>
      </c>
      <c r="H1379" s="6" t="s">
        <v>84</v>
      </c>
      <c r="I1379" s="8" t="s">
        <v>85</v>
      </c>
      <c r="J1379" s="9">
        <v>1</v>
      </c>
      <c r="K1379" s="9">
        <v>264</v>
      </c>
      <c r="L1379" s="9">
        <v>2024</v>
      </c>
      <c r="M1379" s="8" t="s">
        <v>7470</v>
      </c>
      <c r="N1379" s="8" t="s">
        <v>40</v>
      </c>
      <c r="O1379" s="8" t="s">
        <v>41</v>
      </c>
      <c r="P1379" s="6" t="s">
        <v>42</v>
      </c>
      <c r="Q1379" s="8" t="s">
        <v>43</v>
      </c>
      <c r="R1379" s="10" t="s">
        <v>750</v>
      </c>
      <c r="S1379" s="11"/>
      <c r="T1379" s="6"/>
      <c r="U1379" s="28" t="str">
        <f>HYPERLINK("https://media.infra-m.ru/2084/2084488/cover/2084488.jpg", "Обложка")</f>
        <v>Обложка</v>
      </c>
      <c r="V1379" s="28" t="str">
        <f>HYPERLINK("https://znanium.com/catalog/product/2084488", "Ознакомиться")</f>
        <v>Ознакомиться</v>
      </c>
      <c r="W1379" s="8" t="s">
        <v>45</v>
      </c>
      <c r="X1379" s="6"/>
      <c r="Y1379" s="6"/>
      <c r="Z1379" s="6"/>
      <c r="AA1379" s="6" t="s">
        <v>62</v>
      </c>
    </row>
    <row r="1380" spans="1:27" s="4" customFormat="1" ht="51.95" customHeight="1">
      <c r="A1380" s="5">
        <v>0</v>
      </c>
      <c r="B1380" s="6" t="s">
        <v>7471</v>
      </c>
      <c r="C1380" s="7">
        <v>654.9</v>
      </c>
      <c r="D1380" s="8" t="s">
        <v>7472</v>
      </c>
      <c r="E1380" s="8" t="s">
        <v>7473</v>
      </c>
      <c r="F1380" s="8" t="s">
        <v>7474</v>
      </c>
      <c r="G1380" s="6" t="s">
        <v>51</v>
      </c>
      <c r="H1380" s="6" t="s">
        <v>38</v>
      </c>
      <c r="I1380" s="8"/>
      <c r="J1380" s="9">
        <v>1</v>
      </c>
      <c r="K1380" s="9">
        <v>192</v>
      </c>
      <c r="L1380" s="9">
        <v>2019</v>
      </c>
      <c r="M1380" s="8" t="s">
        <v>7475</v>
      </c>
      <c r="N1380" s="8" t="s">
        <v>40</v>
      </c>
      <c r="O1380" s="8" t="s">
        <v>41</v>
      </c>
      <c r="P1380" s="6" t="s">
        <v>42</v>
      </c>
      <c r="Q1380" s="8" t="s">
        <v>296</v>
      </c>
      <c r="R1380" s="10" t="s">
        <v>452</v>
      </c>
      <c r="S1380" s="11"/>
      <c r="T1380" s="6"/>
      <c r="U1380" s="28" t="str">
        <f>HYPERLINK("https://media.infra-m.ru/1010/1010064/cover/1010064.jpg", "Обложка")</f>
        <v>Обложка</v>
      </c>
      <c r="V1380" s="28" t="str">
        <f>HYPERLINK("https://znanium.com/catalog/product/1010064", "Ознакомиться")</f>
        <v>Ознакомиться</v>
      </c>
      <c r="W1380" s="8" t="s">
        <v>114</v>
      </c>
      <c r="X1380" s="6"/>
      <c r="Y1380" s="6"/>
      <c r="Z1380" s="6"/>
      <c r="AA1380" s="6" t="s">
        <v>298</v>
      </c>
    </row>
    <row r="1381" spans="1:27" s="4" customFormat="1" ht="42" customHeight="1">
      <c r="A1381" s="5">
        <v>0</v>
      </c>
      <c r="B1381" s="6" t="s">
        <v>7476</v>
      </c>
      <c r="C1381" s="7">
        <v>864</v>
      </c>
      <c r="D1381" s="8" t="s">
        <v>7477</v>
      </c>
      <c r="E1381" s="8" t="s">
        <v>7478</v>
      </c>
      <c r="F1381" s="8" t="s">
        <v>7479</v>
      </c>
      <c r="G1381" s="6" t="s">
        <v>58</v>
      </c>
      <c r="H1381" s="6" t="s">
        <v>427</v>
      </c>
      <c r="I1381" s="8" t="s">
        <v>428</v>
      </c>
      <c r="J1381" s="9">
        <v>1</v>
      </c>
      <c r="K1381" s="9">
        <v>192</v>
      </c>
      <c r="L1381" s="9">
        <v>2023</v>
      </c>
      <c r="M1381" s="8" t="s">
        <v>7480</v>
      </c>
      <c r="N1381" s="8" t="s">
        <v>40</v>
      </c>
      <c r="O1381" s="8" t="s">
        <v>41</v>
      </c>
      <c r="P1381" s="6" t="s">
        <v>42</v>
      </c>
      <c r="Q1381" s="8" t="s">
        <v>43</v>
      </c>
      <c r="R1381" s="10" t="s">
        <v>304</v>
      </c>
      <c r="S1381" s="11"/>
      <c r="T1381" s="6"/>
      <c r="U1381" s="28" t="str">
        <f>HYPERLINK("https://media.infra-m.ru/1931/1931472/cover/1931472.jpg", "Обложка")</f>
        <v>Обложка</v>
      </c>
      <c r="V1381" s="28" t="str">
        <f>HYPERLINK("https://znanium.com/catalog/product/1068796", "Ознакомиться")</f>
        <v>Ознакомиться</v>
      </c>
      <c r="W1381" s="8" t="s">
        <v>430</v>
      </c>
      <c r="X1381" s="6"/>
      <c r="Y1381" s="6"/>
      <c r="Z1381" s="6"/>
      <c r="AA1381" s="6" t="s">
        <v>298</v>
      </c>
    </row>
    <row r="1382" spans="1:27" s="4" customFormat="1" ht="42" customHeight="1">
      <c r="A1382" s="5">
        <v>0</v>
      </c>
      <c r="B1382" s="6" t="s">
        <v>7481</v>
      </c>
      <c r="C1382" s="7">
        <v>764.9</v>
      </c>
      <c r="D1382" s="8" t="s">
        <v>7482</v>
      </c>
      <c r="E1382" s="8" t="s">
        <v>7483</v>
      </c>
      <c r="F1382" s="8" t="s">
        <v>929</v>
      </c>
      <c r="G1382" s="6" t="s">
        <v>58</v>
      </c>
      <c r="H1382" s="6" t="s">
        <v>38</v>
      </c>
      <c r="I1382" s="8"/>
      <c r="J1382" s="9">
        <v>1</v>
      </c>
      <c r="K1382" s="9">
        <v>208</v>
      </c>
      <c r="L1382" s="9">
        <v>2020</v>
      </c>
      <c r="M1382" s="8" t="s">
        <v>7484</v>
      </c>
      <c r="N1382" s="8" t="s">
        <v>40</v>
      </c>
      <c r="O1382" s="8" t="s">
        <v>41</v>
      </c>
      <c r="P1382" s="6" t="s">
        <v>42</v>
      </c>
      <c r="Q1382" s="8" t="s">
        <v>43</v>
      </c>
      <c r="R1382" s="10"/>
      <c r="S1382" s="11"/>
      <c r="T1382" s="6"/>
      <c r="U1382" s="28" t="str">
        <f>HYPERLINK("https://media.infra-m.ru/1074/1074289/cover/1074289.jpg", "Обложка")</f>
        <v>Обложка</v>
      </c>
      <c r="V1382" s="28" t="str">
        <f>HYPERLINK("https://znanium.com/catalog/product/929118", "Ознакомиться")</f>
        <v>Ознакомиться</v>
      </c>
      <c r="W1382" s="8" t="s">
        <v>124</v>
      </c>
      <c r="X1382" s="6"/>
      <c r="Y1382" s="6"/>
      <c r="Z1382" s="6"/>
      <c r="AA1382" s="6" t="s">
        <v>46</v>
      </c>
    </row>
    <row r="1383" spans="1:27" s="4" customFormat="1" ht="51.95" customHeight="1">
      <c r="A1383" s="5">
        <v>0</v>
      </c>
      <c r="B1383" s="6" t="s">
        <v>7485</v>
      </c>
      <c r="C1383" s="13">
        <v>2900</v>
      </c>
      <c r="D1383" s="8" t="s">
        <v>7486</v>
      </c>
      <c r="E1383" s="8" t="s">
        <v>7487</v>
      </c>
      <c r="F1383" s="8" t="s">
        <v>1968</v>
      </c>
      <c r="G1383" s="6" t="s">
        <v>37</v>
      </c>
      <c r="H1383" s="6" t="s">
        <v>38</v>
      </c>
      <c r="I1383" s="8"/>
      <c r="J1383" s="9">
        <v>1</v>
      </c>
      <c r="K1383" s="9">
        <v>672</v>
      </c>
      <c r="L1383" s="9">
        <v>2023</v>
      </c>
      <c r="M1383" s="8" t="s">
        <v>7488</v>
      </c>
      <c r="N1383" s="8" t="s">
        <v>40</v>
      </c>
      <c r="O1383" s="8" t="s">
        <v>41</v>
      </c>
      <c r="P1383" s="6" t="s">
        <v>75</v>
      </c>
      <c r="Q1383" s="8" t="s">
        <v>76</v>
      </c>
      <c r="R1383" s="10" t="s">
        <v>122</v>
      </c>
      <c r="S1383" s="11" t="s">
        <v>7489</v>
      </c>
      <c r="T1383" s="6"/>
      <c r="U1383" s="28" t="str">
        <f>HYPERLINK("https://media.infra-m.ru/1911/1911648/cover/1911648.jpg", "Обложка")</f>
        <v>Обложка</v>
      </c>
      <c r="V1383" s="28" t="str">
        <f>HYPERLINK("https://znanium.com/catalog/product/1006905", "Ознакомиться")</f>
        <v>Ознакомиться</v>
      </c>
      <c r="W1383" s="8" t="s">
        <v>414</v>
      </c>
      <c r="X1383" s="6"/>
      <c r="Y1383" s="6"/>
      <c r="Z1383" s="6"/>
      <c r="AA1383" s="6" t="s">
        <v>1964</v>
      </c>
    </row>
    <row r="1384" spans="1:27" s="4" customFormat="1" ht="51.95" customHeight="1">
      <c r="A1384" s="5">
        <v>0</v>
      </c>
      <c r="B1384" s="6" t="s">
        <v>7490</v>
      </c>
      <c r="C1384" s="13">
        <v>2450</v>
      </c>
      <c r="D1384" s="8" t="s">
        <v>7491</v>
      </c>
      <c r="E1384" s="8" t="s">
        <v>7492</v>
      </c>
      <c r="F1384" s="8" t="s">
        <v>2077</v>
      </c>
      <c r="G1384" s="6" t="s">
        <v>37</v>
      </c>
      <c r="H1384" s="6" t="s">
        <v>38</v>
      </c>
      <c r="I1384" s="8"/>
      <c r="J1384" s="9">
        <v>1</v>
      </c>
      <c r="K1384" s="9">
        <v>544</v>
      </c>
      <c r="L1384" s="9">
        <v>2023</v>
      </c>
      <c r="M1384" s="8" t="s">
        <v>7493</v>
      </c>
      <c r="N1384" s="8" t="s">
        <v>40</v>
      </c>
      <c r="O1384" s="8" t="s">
        <v>41</v>
      </c>
      <c r="P1384" s="6" t="s">
        <v>1133</v>
      </c>
      <c r="Q1384" s="8" t="s">
        <v>76</v>
      </c>
      <c r="R1384" s="10" t="s">
        <v>168</v>
      </c>
      <c r="S1384" s="11"/>
      <c r="T1384" s="6"/>
      <c r="U1384" s="28" t="str">
        <f>HYPERLINK("https://media.infra-m.ru/1893/1893869/cover/1893869.jpg", "Обложка")</f>
        <v>Обложка</v>
      </c>
      <c r="V1384" s="28" t="str">
        <f>HYPERLINK("https://znanium.com/catalog/product/1893869", "Ознакомиться")</f>
        <v>Ознакомиться</v>
      </c>
      <c r="W1384" s="8" t="s">
        <v>114</v>
      </c>
      <c r="X1384" s="6"/>
      <c r="Y1384" s="6"/>
      <c r="Z1384" s="6"/>
      <c r="AA1384" s="6" t="s">
        <v>46</v>
      </c>
    </row>
    <row r="1385" spans="1:27" s="4" customFormat="1" ht="51.95" customHeight="1">
      <c r="A1385" s="5">
        <v>0</v>
      </c>
      <c r="B1385" s="6" t="s">
        <v>7494</v>
      </c>
      <c r="C1385" s="13">
        <v>2690</v>
      </c>
      <c r="D1385" s="8" t="s">
        <v>7495</v>
      </c>
      <c r="E1385" s="8" t="s">
        <v>7496</v>
      </c>
      <c r="F1385" s="8" t="s">
        <v>7497</v>
      </c>
      <c r="G1385" s="6" t="s">
        <v>58</v>
      </c>
      <c r="H1385" s="6" t="s">
        <v>38</v>
      </c>
      <c r="I1385" s="8"/>
      <c r="J1385" s="9">
        <v>1</v>
      </c>
      <c r="K1385" s="9">
        <v>816</v>
      </c>
      <c r="L1385" s="9">
        <v>2024</v>
      </c>
      <c r="M1385" s="8" t="s">
        <v>7498</v>
      </c>
      <c r="N1385" s="8" t="s">
        <v>40</v>
      </c>
      <c r="O1385" s="8" t="s">
        <v>41</v>
      </c>
      <c r="P1385" s="6" t="s">
        <v>1133</v>
      </c>
      <c r="Q1385" s="8" t="s">
        <v>76</v>
      </c>
      <c r="R1385" s="10" t="s">
        <v>235</v>
      </c>
      <c r="S1385" s="11" t="s">
        <v>7489</v>
      </c>
      <c r="T1385" s="6"/>
      <c r="U1385" s="28" t="str">
        <f>HYPERLINK("https://media.infra-m.ru/2114/2114308/cover/2114308.jpg", "Обложка")</f>
        <v>Обложка</v>
      </c>
      <c r="V1385" s="28" t="str">
        <f>HYPERLINK("https://znanium.com/catalog/product/2114308", "Ознакомиться")</f>
        <v>Ознакомиться</v>
      </c>
      <c r="W1385" s="8" t="s">
        <v>414</v>
      </c>
      <c r="X1385" s="6"/>
      <c r="Y1385" s="6"/>
      <c r="Z1385" s="6"/>
      <c r="AA1385" s="6" t="s">
        <v>1964</v>
      </c>
    </row>
    <row r="1386" spans="1:27" s="4" customFormat="1" ht="51.95" customHeight="1">
      <c r="A1386" s="5">
        <v>0</v>
      </c>
      <c r="B1386" s="6" t="s">
        <v>7499</v>
      </c>
      <c r="C1386" s="7">
        <v>729.9</v>
      </c>
      <c r="D1386" s="8" t="s">
        <v>7500</v>
      </c>
      <c r="E1386" s="8" t="s">
        <v>7501</v>
      </c>
      <c r="F1386" s="8" t="s">
        <v>57</v>
      </c>
      <c r="G1386" s="6" t="s">
        <v>58</v>
      </c>
      <c r="H1386" s="6" t="s">
        <v>38</v>
      </c>
      <c r="I1386" s="8"/>
      <c r="J1386" s="9">
        <v>12</v>
      </c>
      <c r="K1386" s="9">
        <v>416</v>
      </c>
      <c r="L1386" s="9">
        <v>2016</v>
      </c>
      <c r="M1386" s="8" t="s">
        <v>7502</v>
      </c>
      <c r="N1386" s="8" t="s">
        <v>40</v>
      </c>
      <c r="O1386" s="8" t="s">
        <v>41</v>
      </c>
      <c r="P1386" s="6" t="s">
        <v>42</v>
      </c>
      <c r="Q1386" s="8" t="s">
        <v>43</v>
      </c>
      <c r="R1386" s="10" t="s">
        <v>1625</v>
      </c>
      <c r="S1386" s="11"/>
      <c r="T1386" s="6"/>
      <c r="U1386" s="28" t="str">
        <f>HYPERLINK("https://media.infra-m.ru/0549/0549699/cover/549699.jpg", "Обложка")</f>
        <v>Обложка</v>
      </c>
      <c r="V1386" s="28" t="str">
        <f>HYPERLINK("https://znanium.com/catalog/product/549699", "Ознакомиться")</f>
        <v>Ознакомиться</v>
      </c>
      <c r="W1386" s="8" t="s">
        <v>61</v>
      </c>
      <c r="X1386" s="6"/>
      <c r="Y1386" s="6"/>
      <c r="Z1386" s="6"/>
      <c r="AA1386" s="6" t="s">
        <v>215</v>
      </c>
    </row>
    <row r="1387" spans="1:27" s="4" customFormat="1" ht="42" customHeight="1">
      <c r="A1387" s="5">
        <v>0</v>
      </c>
      <c r="B1387" s="6" t="s">
        <v>7503</v>
      </c>
      <c r="C1387" s="7">
        <v>704.9</v>
      </c>
      <c r="D1387" s="8" t="s">
        <v>7504</v>
      </c>
      <c r="E1387" s="8" t="s">
        <v>7505</v>
      </c>
      <c r="F1387" s="8" t="s">
        <v>7506</v>
      </c>
      <c r="G1387" s="6" t="s">
        <v>51</v>
      </c>
      <c r="H1387" s="6" t="s">
        <v>38</v>
      </c>
      <c r="I1387" s="8"/>
      <c r="J1387" s="9">
        <v>1</v>
      </c>
      <c r="K1387" s="9">
        <v>208</v>
      </c>
      <c r="L1387" s="9">
        <v>2019</v>
      </c>
      <c r="M1387" s="8" t="s">
        <v>7507</v>
      </c>
      <c r="N1387" s="8" t="s">
        <v>40</v>
      </c>
      <c r="O1387" s="8" t="s">
        <v>41</v>
      </c>
      <c r="P1387" s="6" t="s">
        <v>42</v>
      </c>
      <c r="Q1387" s="8" t="s">
        <v>43</v>
      </c>
      <c r="R1387" s="10" t="s">
        <v>304</v>
      </c>
      <c r="S1387" s="11"/>
      <c r="T1387" s="6"/>
      <c r="U1387" s="28" t="str">
        <f>HYPERLINK("https://media.infra-m.ru/1007/1007473/cover/1007473.jpg", "Обложка")</f>
        <v>Обложка</v>
      </c>
      <c r="V1387" s="28" t="str">
        <f>HYPERLINK("https://znanium.com/catalog/product/1007473", "Ознакомиться")</f>
        <v>Ознакомиться</v>
      </c>
      <c r="W1387" s="8" t="s">
        <v>195</v>
      </c>
      <c r="X1387" s="6"/>
      <c r="Y1387" s="6"/>
      <c r="Z1387" s="6"/>
      <c r="AA1387" s="6" t="s">
        <v>298</v>
      </c>
    </row>
    <row r="1388" spans="1:27" s="4" customFormat="1" ht="44.1" customHeight="1">
      <c r="A1388" s="5">
        <v>0</v>
      </c>
      <c r="B1388" s="6" t="s">
        <v>7508</v>
      </c>
      <c r="C1388" s="13">
        <v>1764</v>
      </c>
      <c r="D1388" s="8" t="s">
        <v>7509</v>
      </c>
      <c r="E1388" s="8" t="s">
        <v>7510</v>
      </c>
      <c r="F1388" s="8" t="s">
        <v>7511</v>
      </c>
      <c r="G1388" s="6" t="s">
        <v>58</v>
      </c>
      <c r="H1388" s="6" t="s">
        <v>38</v>
      </c>
      <c r="I1388" s="8"/>
      <c r="J1388" s="9">
        <v>1</v>
      </c>
      <c r="K1388" s="9">
        <v>384</v>
      </c>
      <c r="L1388" s="9">
        <v>2024</v>
      </c>
      <c r="M1388" s="8" t="s">
        <v>7512</v>
      </c>
      <c r="N1388" s="8" t="s">
        <v>40</v>
      </c>
      <c r="O1388" s="8" t="s">
        <v>41</v>
      </c>
      <c r="P1388" s="6" t="s">
        <v>42</v>
      </c>
      <c r="Q1388" s="8" t="s">
        <v>43</v>
      </c>
      <c r="R1388" s="10" t="s">
        <v>718</v>
      </c>
      <c r="S1388" s="11"/>
      <c r="T1388" s="6"/>
      <c r="U1388" s="28" t="str">
        <f>HYPERLINK("https://media.infra-m.ru/1895/1895235/cover/1895235.jpg", "Обложка")</f>
        <v>Обложка</v>
      </c>
      <c r="V1388" s="28" t="str">
        <f>HYPERLINK("https://znanium.com/catalog/product/1206686", "Ознакомиться")</f>
        <v>Ознакомиться</v>
      </c>
      <c r="W1388" s="8" t="s">
        <v>78</v>
      </c>
      <c r="X1388" s="6"/>
      <c r="Y1388" s="6"/>
      <c r="Z1388" s="6"/>
      <c r="AA1388" s="6" t="s">
        <v>719</v>
      </c>
    </row>
    <row r="1389" spans="1:27" s="4" customFormat="1" ht="51.95" customHeight="1">
      <c r="A1389" s="5">
        <v>0</v>
      </c>
      <c r="B1389" s="6" t="s">
        <v>7513</v>
      </c>
      <c r="C1389" s="13">
        <v>1480</v>
      </c>
      <c r="D1389" s="8" t="s">
        <v>7514</v>
      </c>
      <c r="E1389" s="8" t="s">
        <v>7515</v>
      </c>
      <c r="F1389" s="8" t="s">
        <v>7516</v>
      </c>
      <c r="G1389" s="6" t="s">
        <v>51</v>
      </c>
      <c r="H1389" s="6" t="s">
        <v>84</v>
      </c>
      <c r="I1389" s="8" t="s">
        <v>251</v>
      </c>
      <c r="J1389" s="9">
        <v>1</v>
      </c>
      <c r="K1389" s="9">
        <v>324</v>
      </c>
      <c r="L1389" s="9">
        <v>2023</v>
      </c>
      <c r="M1389" s="8" t="s">
        <v>7517</v>
      </c>
      <c r="N1389" s="8" t="s">
        <v>40</v>
      </c>
      <c r="O1389" s="8" t="s">
        <v>41</v>
      </c>
      <c r="P1389" s="6" t="s">
        <v>42</v>
      </c>
      <c r="Q1389" s="8" t="s">
        <v>43</v>
      </c>
      <c r="R1389" s="10" t="s">
        <v>452</v>
      </c>
      <c r="S1389" s="11"/>
      <c r="T1389" s="6"/>
      <c r="U1389" s="28" t="str">
        <f>HYPERLINK("https://media.infra-m.ru/1895/1895632/cover/1895632.jpg", "Обложка")</f>
        <v>Обложка</v>
      </c>
      <c r="V1389" s="28" t="str">
        <f>HYPERLINK("https://znanium.com/catalog/product/1895632", "Ознакомиться")</f>
        <v>Ознакомиться</v>
      </c>
      <c r="W1389" s="8" t="s">
        <v>237</v>
      </c>
      <c r="X1389" s="6"/>
      <c r="Y1389" s="6"/>
      <c r="Z1389" s="6"/>
      <c r="AA1389" s="6" t="s">
        <v>46</v>
      </c>
    </row>
    <row r="1390" spans="1:27" s="4" customFormat="1" ht="51.95" customHeight="1">
      <c r="A1390" s="5">
        <v>0</v>
      </c>
      <c r="B1390" s="6" t="s">
        <v>7518</v>
      </c>
      <c r="C1390" s="13">
        <v>2970</v>
      </c>
      <c r="D1390" s="8" t="s">
        <v>7519</v>
      </c>
      <c r="E1390" s="8" t="s">
        <v>7520</v>
      </c>
      <c r="F1390" s="8" t="s">
        <v>7521</v>
      </c>
      <c r="G1390" s="6" t="s">
        <v>58</v>
      </c>
      <c r="H1390" s="6" t="s">
        <v>38</v>
      </c>
      <c r="I1390" s="8"/>
      <c r="J1390" s="9">
        <v>1</v>
      </c>
      <c r="K1390" s="9">
        <v>576</v>
      </c>
      <c r="L1390" s="9">
        <v>2023</v>
      </c>
      <c r="M1390" s="8" t="s">
        <v>7522</v>
      </c>
      <c r="N1390" s="8" t="s">
        <v>40</v>
      </c>
      <c r="O1390" s="8" t="s">
        <v>41</v>
      </c>
      <c r="P1390" s="6" t="s">
        <v>42</v>
      </c>
      <c r="Q1390" s="8" t="s">
        <v>43</v>
      </c>
      <c r="R1390" s="10" t="s">
        <v>473</v>
      </c>
      <c r="S1390" s="11"/>
      <c r="T1390" s="6"/>
      <c r="U1390" s="28" t="str">
        <f>HYPERLINK("https://media.infra-m.ru/2001/2001616/cover/2001616.jpg", "Обложка")</f>
        <v>Обложка</v>
      </c>
      <c r="V1390" s="28" t="str">
        <f>HYPERLINK("https://znanium.com/catalog/product/1915630", "Ознакомиться")</f>
        <v>Ознакомиться</v>
      </c>
      <c r="W1390" s="8" t="s">
        <v>5077</v>
      </c>
      <c r="X1390" s="6" t="s">
        <v>4301</v>
      </c>
      <c r="Y1390" s="6"/>
      <c r="Z1390" s="6"/>
      <c r="AA1390" s="6" t="s">
        <v>408</v>
      </c>
    </row>
    <row r="1391" spans="1:27" s="4" customFormat="1" ht="42" customHeight="1">
      <c r="A1391" s="5">
        <v>0</v>
      </c>
      <c r="B1391" s="6" t="s">
        <v>7523</v>
      </c>
      <c r="C1391" s="13">
        <v>1650</v>
      </c>
      <c r="D1391" s="8" t="s">
        <v>7524</v>
      </c>
      <c r="E1391" s="8" t="s">
        <v>7525</v>
      </c>
      <c r="F1391" s="8" t="s">
        <v>7526</v>
      </c>
      <c r="G1391" s="6" t="s">
        <v>58</v>
      </c>
      <c r="H1391" s="6" t="s">
        <v>38</v>
      </c>
      <c r="I1391" s="8"/>
      <c r="J1391" s="9">
        <v>1</v>
      </c>
      <c r="K1391" s="9">
        <v>280</v>
      </c>
      <c r="L1391" s="9">
        <v>2023</v>
      </c>
      <c r="M1391" s="8" t="s">
        <v>7527</v>
      </c>
      <c r="N1391" s="8" t="s">
        <v>40</v>
      </c>
      <c r="O1391" s="8" t="s">
        <v>41</v>
      </c>
      <c r="P1391" s="6" t="s">
        <v>42</v>
      </c>
      <c r="Q1391" s="8" t="s">
        <v>43</v>
      </c>
      <c r="R1391" s="10" t="s">
        <v>69</v>
      </c>
      <c r="S1391" s="11"/>
      <c r="T1391" s="6"/>
      <c r="U1391" s="28" t="str">
        <f>HYPERLINK("https://media.infra-m.ru/2048/2048105/cover/2048105.jpg", "Обложка")</f>
        <v>Обложка</v>
      </c>
      <c r="V1391" s="28" t="str">
        <f>HYPERLINK("https://znanium.com/catalog/product/2007816", "Ознакомиться")</f>
        <v>Ознакомиться</v>
      </c>
      <c r="W1391" s="8" t="s">
        <v>3897</v>
      </c>
      <c r="X1391" s="6" t="s">
        <v>1144</v>
      </c>
      <c r="Y1391" s="6"/>
      <c r="Z1391" s="6"/>
      <c r="AA1391" s="6" t="s">
        <v>408</v>
      </c>
    </row>
    <row r="1392" spans="1:27" s="4" customFormat="1" ht="42" customHeight="1">
      <c r="A1392" s="5">
        <v>0</v>
      </c>
      <c r="B1392" s="6" t="s">
        <v>7528</v>
      </c>
      <c r="C1392" s="13">
        <v>1274</v>
      </c>
      <c r="D1392" s="8" t="s">
        <v>7529</v>
      </c>
      <c r="E1392" s="8" t="s">
        <v>7530</v>
      </c>
      <c r="F1392" s="8" t="s">
        <v>7531</v>
      </c>
      <c r="G1392" s="6" t="s">
        <v>37</v>
      </c>
      <c r="H1392" s="6" t="s">
        <v>38</v>
      </c>
      <c r="I1392" s="8"/>
      <c r="J1392" s="9">
        <v>1</v>
      </c>
      <c r="K1392" s="9">
        <v>280</v>
      </c>
      <c r="L1392" s="9">
        <v>2023</v>
      </c>
      <c r="M1392" s="8" t="s">
        <v>7532</v>
      </c>
      <c r="N1392" s="8" t="s">
        <v>40</v>
      </c>
      <c r="O1392" s="8" t="s">
        <v>41</v>
      </c>
      <c r="P1392" s="6" t="s">
        <v>42</v>
      </c>
      <c r="Q1392" s="8" t="s">
        <v>43</v>
      </c>
      <c r="R1392" s="10" t="s">
        <v>304</v>
      </c>
      <c r="S1392" s="11"/>
      <c r="T1392" s="6"/>
      <c r="U1392" s="28" t="str">
        <f>HYPERLINK("https://media.infra-m.ru/1984/1984938/cover/1984938.jpg", "Обложка")</f>
        <v>Обложка</v>
      </c>
      <c r="V1392" s="28" t="str">
        <f>HYPERLINK("https://znanium.com/catalog/product/1425705", "Ознакомиться")</f>
        <v>Ознакомиться</v>
      </c>
      <c r="W1392" s="8" t="s">
        <v>78</v>
      </c>
      <c r="X1392" s="6"/>
      <c r="Y1392" s="6"/>
      <c r="Z1392" s="6"/>
      <c r="AA1392" s="6" t="s">
        <v>79</v>
      </c>
    </row>
    <row r="1393" spans="1:27" s="4" customFormat="1" ht="51.95" customHeight="1">
      <c r="A1393" s="5">
        <v>0</v>
      </c>
      <c r="B1393" s="6" t="s">
        <v>7533</v>
      </c>
      <c r="C1393" s="7">
        <v>590</v>
      </c>
      <c r="D1393" s="8" t="s">
        <v>7534</v>
      </c>
      <c r="E1393" s="8" t="s">
        <v>7535</v>
      </c>
      <c r="F1393" s="8" t="s">
        <v>7536</v>
      </c>
      <c r="G1393" s="6" t="s">
        <v>37</v>
      </c>
      <c r="H1393" s="6" t="s">
        <v>84</v>
      </c>
      <c r="I1393" s="8" t="s">
        <v>93</v>
      </c>
      <c r="J1393" s="9">
        <v>1</v>
      </c>
      <c r="K1393" s="9">
        <v>133</v>
      </c>
      <c r="L1393" s="9">
        <v>2022</v>
      </c>
      <c r="M1393" s="8" t="s">
        <v>7537</v>
      </c>
      <c r="N1393" s="8" t="s">
        <v>40</v>
      </c>
      <c r="O1393" s="8" t="s">
        <v>41</v>
      </c>
      <c r="P1393" s="6" t="s">
        <v>75</v>
      </c>
      <c r="Q1393" s="8" t="s">
        <v>96</v>
      </c>
      <c r="R1393" s="10" t="s">
        <v>7538</v>
      </c>
      <c r="S1393" s="11" t="s">
        <v>7539</v>
      </c>
      <c r="T1393" s="6"/>
      <c r="U1393" s="28" t="str">
        <f>HYPERLINK("https://media.infra-m.ru/1864/1864136/cover/1864136.jpg", "Обложка")</f>
        <v>Обложка</v>
      </c>
      <c r="V1393" s="28" t="str">
        <f>HYPERLINK("https://znanium.com/catalog/product/1864136", "Ознакомиться")</f>
        <v>Ознакомиться</v>
      </c>
      <c r="W1393" s="8" t="s">
        <v>6192</v>
      </c>
      <c r="X1393" s="6"/>
      <c r="Y1393" s="6"/>
      <c r="Z1393" s="6"/>
      <c r="AA1393" s="6" t="s">
        <v>209</v>
      </c>
    </row>
    <row r="1394" spans="1:27" s="4" customFormat="1" ht="51.95" customHeight="1">
      <c r="A1394" s="5">
        <v>0</v>
      </c>
      <c r="B1394" s="6" t="s">
        <v>7540</v>
      </c>
      <c r="C1394" s="7">
        <v>694.9</v>
      </c>
      <c r="D1394" s="8" t="s">
        <v>7541</v>
      </c>
      <c r="E1394" s="8" t="s">
        <v>7542</v>
      </c>
      <c r="F1394" s="8" t="s">
        <v>7543</v>
      </c>
      <c r="G1394" s="6" t="s">
        <v>58</v>
      </c>
      <c r="H1394" s="6" t="s">
        <v>192</v>
      </c>
      <c r="I1394" s="8" t="s">
        <v>2171</v>
      </c>
      <c r="J1394" s="9">
        <v>1</v>
      </c>
      <c r="K1394" s="9">
        <v>240</v>
      </c>
      <c r="L1394" s="9">
        <v>2018</v>
      </c>
      <c r="M1394" s="8" t="s">
        <v>7544</v>
      </c>
      <c r="N1394" s="8" t="s">
        <v>40</v>
      </c>
      <c r="O1394" s="8" t="s">
        <v>41</v>
      </c>
      <c r="P1394" s="6" t="s">
        <v>75</v>
      </c>
      <c r="Q1394" s="8" t="s">
        <v>96</v>
      </c>
      <c r="R1394" s="10" t="s">
        <v>7538</v>
      </c>
      <c r="S1394" s="11" t="s">
        <v>7545</v>
      </c>
      <c r="T1394" s="6"/>
      <c r="U1394" s="28" t="str">
        <f>HYPERLINK("https://media.infra-m.ru/0937/0937327/cover/937327.jpg", "Обложка")</f>
        <v>Обложка</v>
      </c>
      <c r="V1394" s="28" t="str">
        <f>HYPERLINK("https://znanium.com/catalog/product/1864136", "Ознакомиться")</f>
        <v>Ознакомиться</v>
      </c>
      <c r="W1394" s="8" t="s">
        <v>6192</v>
      </c>
      <c r="X1394" s="6"/>
      <c r="Y1394" s="6"/>
      <c r="Z1394" s="6"/>
      <c r="AA1394" s="6" t="s">
        <v>3131</v>
      </c>
    </row>
    <row r="1395" spans="1:27" s="4" customFormat="1" ht="51.95" customHeight="1">
      <c r="A1395" s="5">
        <v>0</v>
      </c>
      <c r="B1395" s="6" t="s">
        <v>7546</v>
      </c>
      <c r="C1395" s="13">
        <v>1794.9</v>
      </c>
      <c r="D1395" s="8" t="s">
        <v>7547</v>
      </c>
      <c r="E1395" s="8" t="s">
        <v>7548</v>
      </c>
      <c r="F1395" s="8" t="s">
        <v>7549</v>
      </c>
      <c r="G1395" s="6" t="s">
        <v>37</v>
      </c>
      <c r="H1395" s="6" t="s">
        <v>192</v>
      </c>
      <c r="I1395" s="8" t="s">
        <v>93</v>
      </c>
      <c r="J1395" s="9">
        <v>1</v>
      </c>
      <c r="K1395" s="9">
        <v>399</v>
      </c>
      <c r="L1395" s="9">
        <v>2023</v>
      </c>
      <c r="M1395" s="8" t="s">
        <v>7550</v>
      </c>
      <c r="N1395" s="8" t="s">
        <v>40</v>
      </c>
      <c r="O1395" s="8" t="s">
        <v>41</v>
      </c>
      <c r="P1395" s="6" t="s">
        <v>95</v>
      </c>
      <c r="Q1395" s="8" t="s">
        <v>96</v>
      </c>
      <c r="R1395" s="10" t="s">
        <v>7538</v>
      </c>
      <c r="S1395" s="11" t="s">
        <v>7551</v>
      </c>
      <c r="T1395" s="6"/>
      <c r="U1395" s="28" t="str">
        <f>HYPERLINK("https://media.infra-m.ru/1986/1986698/cover/1986698.jpg", "Обложка")</f>
        <v>Обложка</v>
      </c>
      <c r="V1395" s="28" t="str">
        <f>HYPERLINK("https://znanium.com/catalog/product/1862398", "Ознакомиться")</f>
        <v>Ознакомиться</v>
      </c>
      <c r="W1395" s="8" t="s">
        <v>114</v>
      </c>
      <c r="X1395" s="6"/>
      <c r="Y1395" s="6"/>
      <c r="Z1395" s="6"/>
      <c r="AA1395" s="6" t="s">
        <v>3102</v>
      </c>
    </row>
    <row r="1396" spans="1:27" s="4" customFormat="1" ht="51.95" customHeight="1">
      <c r="A1396" s="5">
        <v>0</v>
      </c>
      <c r="B1396" s="6" t="s">
        <v>7552</v>
      </c>
      <c r="C1396" s="13">
        <v>2400</v>
      </c>
      <c r="D1396" s="8" t="s">
        <v>7553</v>
      </c>
      <c r="E1396" s="8" t="s">
        <v>7554</v>
      </c>
      <c r="F1396" s="8" t="s">
        <v>7555</v>
      </c>
      <c r="G1396" s="6" t="s">
        <v>58</v>
      </c>
      <c r="H1396" s="6" t="s">
        <v>84</v>
      </c>
      <c r="I1396" s="8" t="s">
        <v>1140</v>
      </c>
      <c r="J1396" s="9">
        <v>1</v>
      </c>
      <c r="K1396" s="9">
        <v>538</v>
      </c>
      <c r="L1396" s="9">
        <v>2023</v>
      </c>
      <c r="M1396" s="8" t="s">
        <v>7556</v>
      </c>
      <c r="N1396" s="8" t="s">
        <v>40</v>
      </c>
      <c r="O1396" s="8" t="s">
        <v>41</v>
      </c>
      <c r="P1396" s="6" t="s">
        <v>95</v>
      </c>
      <c r="Q1396" s="8" t="s">
        <v>1199</v>
      </c>
      <c r="R1396" s="10" t="s">
        <v>7557</v>
      </c>
      <c r="S1396" s="11" t="s">
        <v>7558</v>
      </c>
      <c r="T1396" s="6"/>
      <c r="U1396" s="28" t="str">
        <f>HYPERLINK("https://media.infra-m.ru/1962/1962518/cover/1962518.jpg", "Обложка")</f>
        <v>Обложка</v>
      </c>
      <c r="V1396" s="28" t="str">
        <f>HYPERLINK("https://znanium.com/catalog/product/1962518", "Ознакомиться")</f>
        <v>Ознакомиться</v>
      </c>
      <c r="W1396" s="8"/>
      <c r="X1396" s="6"/>
      <c r="Y1396" s="6"/>
      <c r="Z1396" s="6"/>
      <c r="AA1396" s="6" t="s">
        <v>343</v>
      </c>
    </row>
    <row r="1397" spans="1:27" s="4" customFormat="1" ht="51.95" customHeight="1">
      <c r="A1397" s="5">
        <v>0</v>
      </c>
      <c r="B1397" s="6" t="s">
        <v>7559</v>
      </c>
      <c r="C1397" s="13">
        <v>2374.9</v>
      </c>
      <c r="D1397" s="8" t="s">
        <v>7560</v>
      </c>
      <c r="E1397" s="8" t="s">
        <v>7561</v>
      </c>
      <c r="F1397" s="8" t="s">
        <v>1696</v>
      </c>
      <c r="G1397" s="6" t="s">
        <v>37</v>
      </c>
      <c r="H1397" s="6" t="s">
        <v>38</v>
      </c>
      <c r="I1397" s="8" t="s">
        <v>1732</v>
      </c>
      <c r="J1397" s="9">
        <v>1</v>
      </c>
      <c r="K1397" s="9">
        <v>528</v>
      </c>
      <c r="L1397" s="9">
        <v>2023</v>
      </c>
      <c r="M1397" s="8" t="s">
        <v>7562</v>
      </c>
      <c r="N1397" s="8" t="s">
        <v>40</v>
      </c>
      <c r="O1397" s="8" t="s">
        <v>41</v>
      </c>
      <c r="P1397" s="6" t="s">
        <v>95</v>
      </c>
      <c r="Q1397" s="8" t="s">
        <v>76</v>
      </c>
      <c r="R1397" s="10" t="s">
        <v>7563</v>
      </c>
      <c r="S1397" s="11" t="s">
        <v>1735</v>
      </c>
      <c r="T1397" s="6"/>
      <c r="U1397" s="28" t="str">
        <f>HYPERLINK("https://media.infra-m.ru/1913/1913001/cover/1913001.jpg", "Обложка")</f>
        <v>Обложка</v>
      </c>
      <c r="V1397" s="28" t="str">
        <f>HYPERLINK("https://znanium.com/catalog/product/1904292", "Ознакомиться")</f>
        <v>Ознакомиться</v>
      </c>
      <c r="W1397" s="8" t="s">
        <v>414</v>
      </c>
      <c r="X1397" s="6"/>
      <c r="Y1397" s="6"/>
      <c r="Z1397" s="6"/>
      <c r="AA1397" s="6" t="s">
        <v>2582</v>
      </c>
    </row>
    <row r="1398" spans="1:27" s="4" customFormat="1" ht="42" customHeight="1">
      <c r="A1398" s="5">
        <v>0</v>
      </c>
      <c r="B1398" s="6" t="s">
        <v>7564</v>
      </c>
      <c r="C1398" s="7">
        <v>820</v>
      </c>
      <c r="D1398" s="8" t="s">
        <v>7565</v>
      </c>
      <c r="E1398" s="8" t="s">
        <v>7566</v>
      </c>
      <c r="F1398" s="8" t="s">
        <v>7567</v>
      </c>
      <c r="G1398" s="6" t="s">
        <v>58</v>
      </c>
      <c r="H1398" s="6" t="s">
        <v>84</v>
      </c>
      <c r="I1398" s="8" t="s">
        <v>85</v>
      </c>
      <c r="J1398" s="9">
        <v>1</v>
      </c>
      <c r="K1398" s="9">
        <v>192</v>
      </c>
      <c r="L1398" s="9">
        <v>2022</v>
      </c>
      <c r="M1398" s="8" t="s">
        <v>7568</v>
      </c>
      <c r="N1398" s="8" t="s">
        <v>40</v>
      </c>
      <c r="O1398" s="8" t="s">
        <v>41</v>
      </c>
      <c r="P1398" s="6" t="s">
        <v>42</v>
      </c>
      <c r="Q1398" s="8" t="s">
        <v>43</v>
      </c>
      <c r="R1398" s="10" t="s">
        <v>7569</v>
      </c>
      <c r="S1398" s="11"/>
      <c r="T1398" s="6"/>
      <c r="U1398" s="28" t="str">
        <f>HYPERLINK("https://media.infra-m.ru/1867/1867000/cover/1867000.jpg", "Обложка")</f>
        <v>Обложка</v>
      </c>
      <c r="V1398" s="28" t="str">
        <f>HYPERLINK("https://znanium.com/catalog/product/1905502", "Ознакомиться")</f>
        <v>Ознакомиться</v>
      </c>
      <c r="W1398" s="8" t="s">
        <v>45</v>
      </c>
      <c r="X1398" s="6"/>
      <c r="Y1398" s="6"/>
      <c r="Z1398" s="6"/>
      <c r="AA1398" s="6" t="s">
        <v>343</v>
      </c>
    </row>
    <row r="1399" spans="1:27" s="4" customFormat="1" ht="42" customHeight="1">
      <c r="A1399" s="5">
        <v>0</v>
      </c>
      <c r="B1399" s="6" t="s">
        <v>7570</v>
      </c>
      <c r="C1399" s="13">
        <v>1234</v>
      </c>
      <c r="D1399" s="8" t="s">
        <v>7571</v>
      </c>
      <c r="E1399" s="8" t="s">
        <v>7572</v>
      </c>
      <c r="F1399" s="8" t="s">
        <v>7573</v>
      </c>
      <c r="G1399" s="6" t="s">
        <v>58</v>
      </c>
      <c r="H1399" s="6" t="s">
        <v>38</v>
      </c>
      <c r="I1399" s="8"/>
      <c r="J1399" s="9">
        <v>1</v>
      </c>
      <c r="K1399" s="9">
        <v>272</v>
      </c>
      <c r="L1399" s="9">
        <v>2023</v>
      </c>
      <c r="M1399" s="8" t="s">
        <v>7574</v>
      </c>
      <c r="N1399" s="8" t="s">
        <v>40</v>
      </c>
      <c r="O1399" s="8" t="s">
        <v>41</v>
      </c>
      <c r="P1399" s="6" t="s">
        <v>42</v>
      </c>
      <c r="Q1399" s="8" t="s">
        <v>43</v>
      </c>
      <c r="R1399" s="10" t="s">
        <v>310</v>
      </c>
      <c r="S1399" s="11"/>
      <c r="T1399" s="6"/>
      <c r="U1399" s="28" t="str">
        <f>HYPERLINK("https://media.infra-m.ru/1978/1978043/cover/1978043.jpg", "Обложка")</f>
        <v>Обложка</v>
      </c>
      <c r="V1399" s="28" t="str">
        <f>HYPERLINK("https://znanium.com/catalog/product/1585104", "Ознакомиться")</f>
        <v>Ознакомиться</v>
      </c>
      <c r="W1399" s="8" t="s">
        <v>237</v>
      </c>
      <c r="X1399" s="6"/>
      <c r="Y1399" s="6"/>
      <c r="Z1399" s="6"/>
      <c r="AA1399" s="6" t="s">
        <v>148</v>
      </c>
    </row>
    <row r="1400" spans="1:27" s="4" customFormat="1" ht="51.95" customHeight="1">
      <c r="A1400" s="5">
        <v>0</v>
      </c>
      <c r="B1400" s="6" t="s">
        <v>7575</v>
      </c>
      <c r="C1400" s="7">
        <v>834.9</v>
      </c>
      <c r="D1400" s="8" t="s">
        <v>7576</v>
      </c>
      <c r="E1400" s="8" t="s">
        <v>7577</v>
      </c>
      <c r="F1400" s="8" t="s">
        <v>7578</v>
      </c>
      <c r="G1400" s="6" t="s">
        <v>51</v>
      </c>
      <c r="H1400" s="6" t="s">
        <v>38</v>
      </c>
      <c r="I1400" s="8"/>
      <c r="J1400" s="9">
        <v>1</v>
      </c>
      <c r="K1400" s="9">
        <v>176</v>
      </c>
      <c r="L1400" s="9">
        <v>2024</v>
      </c>
      <c r="M1400" s="8" t="s">
        <v>7579</v>
      </c>
      <c r="N1400" s="8" t="s">
        <v>40</v>
      </c>
      <c r="O1400" s="8" t="s">
        <v>41</v>
      </c>
      <c r="P1400" s="6" t="s">
        <v>811</v>
      </c>
      <c r="Q1400" s="8" t="s">
        <v>43</v>
      </c>
      <c r="R1400" s="10" t="s">
        <v>7580</v>
      </c>
      <c r="S1400" s="11"/>
      <c r="T1400" s="6"/>
      <c r="U1400" s="28" t="str">
        <f>HYPERLINK("https://media.infra-m.ru/2115/2115199/cover/2115199.jpg", "Обложка")</f>
        <v>Обложка</v>
      </c>
      <c r="V1400" s="28" t="str">
        <f>HYPERLINK("https://znanium.com/catalog/product/1429044", "Ознакомиться")</f>
        <v>Ознакомиться</v>
      </c>
      <c r="W1400" s="8" t="s">
        <v>7581</v>
      </c>
      <c r="X1400" s="6"/>
      <c r="Y1400" s="6"/>
      <c r="Z1400" s="6"/>
      <c r="AA1400" s="6" t="s">
        <v>289</v>
      </c>
    </row>
    <row r="1401" spans="1:27" s="4" customFormat="1" ht="51.95" customHeight="1">
      <c r="A1401" s="5">
        <v>0</v>
      </c>
      <c r="B1401" s="6" t="s">
        <v>7582</v>
      </c>
      <c r="C1401" s="13">
        <v>1444</v>
      </c>
      <c r="D1401" s="8" t="s">
        <v>7583</v>
      </c>
      <c r="E1401" s="8" t="s">
        <v>7584</v>
      </c>
      <c r="F1401" s="8" t="s">
        <v>7585</v>
      </c>
      <c r="G1401" s="6" t="s">
        <v>51</v>
      </c>
      <c r="H1401" s="6" t="s">
        <v>38</v>
      </c>
      <c r="I1401" s="8"/>
      <c r="J1401" s="9">
        <v>1</v>
      </c>
      <c r="K1401" s="9">
        <v>320</v>
      </c>
      <c r="L1401" s="9">
        <v>2023</v>
      </c>
      <c r="M1401" s="8" t="s">
        <v>7586</v>
      </c>
      <c r="N1401" s="8" t="s">
        <v>40</v>
      </c>
      <c r="O1401" s="8" t="s">
        <v>41</v>
      </c>
      <c r="P1401" s="6" t="s">
        <v>811</v>
      </c>
      <c r="Q1401" s="8" t="s">
        <v>43</v>
      </c>
      <c r="R1401" s="10" t="s">
        <v>7587</v>
      </c>
      <c r="S1401" s="11"/>
      <c r="T1401" s="6"/>
      <c r="U1401" s="28" t="str">
        <f>HYPERLINK("https://media.infra-m.ru/1986/1986689/cover/1986689.jpg", "Обложка")</f>
        <v>Обложка</v>
      </c>
      <c r="V1401" s="28" t="str">
        <f>HYPERLINK("https://znanium.com/catalog/product/1429040", "Ознакомиться")</f>
        <v>Ознакомиться</v>
      </c>
      <c r="W1401" s="8" t="s">
        <v>7581</v>
      </c>
      <c r="X1401" s="6"/>
      <c r="Y1401" s="6"/>
      <c r="Z1401" s="6"/>
      <c r="AA1401" s="6" t="s">
        <v>289</v>
      </c>
    </row>
    <row r="1402" spans="1:27" s="4" customFormat="1" ht="42" customHeight="1">
      <c r="A1402" s="5">
        <v>0</v>
      </c>
      <c r="B1402" s="6" t="s">
        <v>7588</v>
      </c>
      <c r="C1402" s="7">
        <v>906.9</v>
      </c>
      <c r="D1402" s="8" t="s">
        <v>7589</v>
      </c>
      <c r="E1402" s="8" t="s">
        <v>7590</v>
      </c>
      <c r="F1402" s="8" t="s">
        <v>7591</v>
      </c>
      <c r="G1402" s="6" t="s">
        <v>58</v>
      </c>
      <c r="H1402" s="6" t="s">
        <v>38</v>
      </c>
      <c r="I1402" s="8"/>
      <c r="J1402" s="9">
        <v>1</v>
      </c>
      <c r="K1402" s="9">
        <v>232</v>
      </c>
      <c r="L1402" s="9">
        <v>2020</v>
      </c>
      <c r="M1402" s="8" t="s">
        <v>7592</v>
      </c>
      <c r="N1402" s="8" t="s">
        <v>40</v>
      </c>
      <c r="O1402" s="8" t="s">
        <v>41</v>
      </c>
      <c r="P1402" s="6" t="s">
        <v>42</v>
      </c>
      <c r="Q1402" s="8" t="s">
        <v>43</v>
      </c>
      <c r="R1402" s="10" t="s">
        <v>69</v>
      </c>
      <c r="S1402" s="11"/>
      <c r="T1402" s="6"/>
      <c r="U1402" s="28" t="str">
        <f>HYPERLINK("https://media.infra-m.ru/1088/1088383/cover/1088383.jpg", "Обложка")</f>
        <v>Обложка</v>
      </c>
      <c r="V1402" s="28" t="str">
        <f>HYPERLINK("https://znanium.com/catalog/product/1068651", "Ознакомиться")</f>
        <v>Ознакомиться</v>
      </c>
      <c r="W1402" s="8" t="s">
        <v>6566</v>
      </c>
      <c r="X1402" s="6"/>
      <c r="Y1402" s="6"/>
      <c r="Z1402" s="6"/>
      <c r="AA1402" s="6" t="s">
        <v>115</v>
      </c>
    </row>
    <row r="1403" spans="1:27" s="4" customFormat="1" ht="42" customHeight="1">
      <c r="A1403" s="5">
        <v>0</v>
      </c>
      <c r="B1403" s="6" t="s">
        <v>7593</v>
      </c>
      <c r="C1403" s="7">
        <v>929.9</v>
      </c>
      <c r="D1403" s="8" t="s">
        <v>7594</v>
      </c>
      <c r="E1403" s="8" t="s">
        <v>7595</v>
      </c>
      <c r="F1403" s="8" t="s">
        <v>6384</v>
      </c>
      <c r="G1403" s="6" t="s">
        <v>58</v>
      </c>
      <c r="H1403" s="6" t="s">
        <v>38</v>
      </c>
      <c r="I1403" s="8"/>
      <c r="J1403" s="9">
        <v>1</v>
      </c>
      <c r="K1403" s="9">
        <v>240</v>
      </c>
      <c r="L1403" s="9">
        <v>2022</v>
      </c>
      <c r="M1403" s="8" t="s">
        <v>7596</v>
      </c>
      <c r="N1403" s="8" t="s">
        <v>40</v>
      </c>
      <c r="O1403" s="8" t="s">
        <v>41</v>
      </c>
      <c r="P1403" s="6" t="s">
        <v>75</v>
      </c>
      <c r="Q1403" s="8" t="s">
        <v>76</v>
      </c>
      <c r="R1403" s="10" t="s">
        <v>113</v>
      </c>
      <c r="S1403" s="11"/>
      <c r="T1403" s="6"/>
      <c r="U1403" s="28" t="str">
        <f>HYPERLINK("https://media.infra-m.ru/1816/1816459/cover/1816459.jpg", "Обложка")</f>
        <v>Обложка</v>
      </c>
      <c r="V1403" s="28" t="str">
        <f>HYPERLINK("https://znanium.com/catalog/product/1816459", "Ознакомиться")</f>
        <v>Ознакомиться</v>
      </c>
      <c r="W1403" s="8" t="s">
        <v>114</v>
      </c>
      <c r="X1403" s="6"/>
      <c r="Y1403" s="6"/>
      <c r="Z1403" s="6"/>
      <c r="AA1403" s="6" t="s">
        <v>343</v>
      </c>
    </row>
    <row r="1404" spans="1:27" s="4" customFormat="1" ht="51.95" customHeight="1">
      <c r="A1404" s="5">
        <v>0</v>
      </c>
      <c r="B1404" s="6" t="s">
        <v>7597</v>
      </c>
      <c r="C1404" s="13">
        <v>1490</v>
      </c>
      <c r="D1404" s="8" t="s">
        <v>7598</v>
      </c>
      <c r="E1404" s="8" t="s">
        <v>7599</v>
      </c>
      <c r="F1404" s="8" t="s">
        <v>7600</v>
      </c>
      <c r="G1404" s="6" t="s">
        <v>37</v>
      </c>
      <c r="H1404" s="6" t="s">
        <v>84</v>
      </c>
      <c r="I1404" s="8" t="s">
        <v>6374</v>
      </c>
      <c r="J1404" s="9">
        <v>1</v>
      </c>
      <c r="K1404" s="9">
        <v>323</v>
      </c>
      <c r="L1404" s="9">
        <v>2023</v>
      </c>
      <c r="M1404" s="8" t="s">
        <v>7601</v>
      </c>
      <c r="N1404" s="8" t="s">
        <v>40</v>
      </c>
      <c r="O1404" s="8" t="s">
        <v>41</v>
      </c>
      <c r="P1404" s="6" t="s">
        <v>2498</v>
      </c>
      <c r="Q1404" s="8" t="s">
        <v>43</v>
      </c>
      <c r="R1404" s="10" t="s">
        <v>60</v>
      </c>
      <c r="S1404" s="11"/>
      <c r="T1404" s="6"/>
      <c r="U1404" s="28" t="str">
        <f>HYPERLINK("https://media.infra-m.ru/2072/2072472/cover/2072472.jpg", "Обложка")</f>
        <v>Обложка</v>
      </c>
      <c r="V1404" s="28" t="str">
        <f>HYPERLINK("https://znanium.com/catalog/product/1874261", "Ознакомиться")</f>
        <v>Ознакомиться</v>
      </c>
      <c r="W1404" s="8" t="s">
        <v>7602</v>
      </c>
      <c r="X1404" s="6"/>
      <c r="Y1404" s="6"/>
      <c r="Z1404" s="6"/>
      <c r="AA1404" s="6" t="s">
        <v>408</v>
      </c>
    </row>
    <row r="1405" spans="1:27" s="4" customFormat="1" ht="42" customHeight="1">
      <c r="A1405" s="5">
        <v>0</v>
      </c>
      <c r="B1405" s="6" t="s">
        <v>7603</v>
      </c>
      <c r="C1405" s="13">
        <v>1054</v>
      </c>
      <c r="D1405" s="8" t="s">
        <v>7604</v>
      </c>
      <c r="E1405" s="8" t="s">
        <v>7605</v>
      </c>
      <c r="F1405" s="8" t="s">
        <v>7606</v>
      </c>
      <c r="G1405" s="6" t="s">
        <v>51</v>
      </c>
      <c r="H1405" s="6" t="s">
        <v>38</v>
      </c>
      <c r="I1405" s="8"/>
      <c r="J1405" s="9">
        <v>1</v>
      </c>
      <c r="K1405" s="9">
        <v>272</v>
      </c>
      <c r="L1405" s="9">
        <v>2024</v>
      </c>
      <c r="M1405" s="8" t="s">
        <v>7607</v>
      </c>
      <c r="N1405" s="8" t="s">
        <v>40</v>
      </c>
      <c r="O1405" s="8" t="s">
        <v>41</v>
      </c>
      <c r="P1405" s="6" t="s">
        <v>42</v>
      </c>
      <c r="Q1405" s="8" t="s">
        <v>43</v>
      </c>
      <c r="R1405" s="10" t="s">
        <v>304</v>
      </c>
      <c r="S1405" s="11"/>
      <c r="T1405" s="6"/>
      <c r="U1405" s="28" t="str">
        <f>HYPERLINK("https://media.infra-m.ru/2056/2056645/cover/2056645.jpg", "Обложка")</f>
        <v>Обложка</v>
      </c>
      <c r="V1405" s="28" t="str">
        <f>HYPERLINK("https://znanium.com/catalog/product/978591", "Ознакомиться")</f>
        <v>Ознакомиться</v>
      </c>
      <c r="W1405" s="8" t="s">
        <v>78</v>
      </c>
      <c r="X1405" s="6"/>
      <c r="Y1405" s="6"/>
      <c r="Z1405" s="6"/>
      <c r="AA1405" s="6" t="s">
        <v>311</v>
      </c>
    </row>
    <row r="1406" spans="1:27" s="4" customFormat="1" ht="51.95" customHeight="1">
      <c r="A1406" s="5">
        <v>0</v>
      </c>
      <c r="B1406" s="6" t="s">
        <v>7608</v>
      </c>
      <c r="C1406" s="7">
        <v>520</v>
      </c>
      <c r="D1406" s="8" t="s">
        <v>7609</v>
      </c>
      <c r="E1406" s="8" t="s">
        <v>7610</v>
      </c>
      <c r="F1406" s="8" t="s">
        <v>7611</v>
      </c>
      <c r="G1406" s="6" t="s">
        <v>51</v>
      </c>
      <c r="H1406" s="6" t="s">
        <v>52</v>
      </c>
      <c r="I1406" s="8" t="s">
        <v>251</v>
      </c>
      <c r="J1406" s="9">
        <v>1</v>
      </c>
      <c r="K1406" s="9">
        <v>110</v>
      </c>
      <c r="L1406" s="9">
        <v>2022</v>
      </c>
      <c r="M1406" s="8" t="s">
        <v>7612</v>
      </c>
      <c r="N1406" s="8" t="s">
        <v>40</v>
      </c>
      <c r="O1406" s="8" t="s">
        <v>41</v>
      </c>
      <c r="P1406" s="6" t="s">
        <v>42</v>
      </c>
      <c r="Q1406" s="8" t="s">
        <v>43</v>
      </c>
      <c r="R1406" s="10" t="s">
        <v>2295</v>
      </c>
      <c r="S1406" s="11"/>
      <c r="T1406" s="6"/>
      <c r="U1406" s="28" t="str">
        <f>HYPERLINK("https://media.infra-m.ru/1850/1850120/cover/1850120.jpg", "Обложка")</f>
        <v>Обложка</v>
      </c>
      <c r="V1406" s="12"/>
      <c r="W1406" s="8"/>
      <c r="X1406" s="6"/>
      <c r="Y1406" s="6"/>
      <c r="Z1406" s="6"/>
      <c r="AA1406" s="6" t="s">
        <v>62</v>
      </c>
    </row>
    <row r="1407" spans="1:27" s="4" customFormat="1" ht="42" customHeight="1">
      <c r="A1407" s="5">
        <v>0</v>
      </c>
      <c r="B1407" s="6" t="s">
        <v>7613</v>
      </c>
      <c r="C1407" s="7">
        <v>840</v>
      </c>
      <c r="D1407" s="8" t="s">
        <v>7614</v>
      </c>
      <c r="E1407" s="8" t="s">
        <v>7615</v>
      </c>
      <c r="F1407" s="8" t="s">
        <v>279</v>
      </c>
      <c r="G1407" s="6" t="s">
        <v>37</v>
      </c>
      <c r="H1407" s="6" t="s">
        <v>38</v>
      </c>
      <c r="I1407" s="8"/>
      <c r="J1407" s="9">
        <v>1</v>
      </c>
      <c r="K1407" s="9">
        <v>216</v>
      </c>
      <c r="L1407" s="9">
        <v>2022</v>
      </c>
      <c r="M1407" s="8" t="s">
        <v>7616</v>
      </c>
      <c r="N1407" s="8" t="s">
        <v>40</v>
      </c>
      <c r="O1407" s="8" t="s">
        <v>41</v>
      </c>
      <c r="P1407" s="6" t="s">
        <v>42</v>
      </c>
      <c r="Q1407" s="8" t="s">
        <v>43</v>
      </c>
      <c r="R1407" s="10" t="s">
        <v>1339</v>
      </c>
      <c r="S1407" s="11"/>
      <c r="T1407" s="6"/>
      <c r="U1407" s="28" t="str">
        <f>HYPERLINK("https://media.infra-m.ru/1864/1864451/cover/1864451.jpg", "Обложка")</f>
        <v>Обложка</v>
      </c>
      <c r="V1407" s="28" t="str">
        <f>HYPERLINK("https://znanium.com/catalog/product/1864451", "Ознакомиться")</f>
        <v>Ознакомиться</v>
      </c>
      <c r="W1407" s="8" t="s">
        <v>114</v>
      </c>
      <c r="X1407" s="6"/>
      <c r="Y1407" s="6"/>
      <c r="Z1407" s="6"/>
      <c r="AA1407" s="6" t="s">
        <v>62</v>
      </c>
    </row>
    <row r="1408" spans="1:27" s="4" customFormat="1" ht="51.95" customHeight="1">
      <c r="A1408" s="5">
        <v>0</v>
      </c>
      <c r="B1408" s="6" t="s">
        <v>7617</v>
      </c>
      <c r="C1408" s="13">
        <v>1049.9000000000001</v>
      </c>
      <c r="D1408" s="8" t="s">
        <v>7618</v>
      </c>
      <c r="E1408" s="8" t="s">
        <v>7619</v>
      </c>
      <c r="F1408" s="8" t="s">
        <v>7620</v>
      </c>
      <c r="G1408" s="6" t="s">
        <v>1726</v>
      </c>
      <c r="H1408" s="6" t="s">
        <v>84</v>
      </c>
      <c r="I1408" s="8" t="s">
        <v>85</v>
      </c>
      <c r="J1408" s="9">
        <v>10</v>
      </c>
      <c r="K1408" s="9">
        <v>336</v>
      </c>
      <c r="L1408" s="9">
        <v>2016</v>
      </c>
      <c r="M1408" s="8" t="s">
        <v>7621</v>
      </c>
      <c r="N1408" s="8" t="s">
        <v>40</v>
      </c>
      <c r="O1408" s="8" t="s">
        <v>41</v>
      </c>
      <c r="P1408" s="6" t="s">
        <v>42</v>
      </c>
      <c r="Q1408" s="8" t="s">
        <v>296</v>
      </c>
      <c r="R1408" s="10" t="s">
        <v>1625</v>
      </c>
      <c r="S1408" s="11"/>
      <c r="T1408" s="6"/>
      <c r="U1408" s="28" t="str">
        <f>HYPERLINK("https://media.infra-m.ru/0522/0522397/cover/522397.jpg", "Обложка")</f>
        <v>Обложка</v>
      </c>
      <c r="V1408" s="28" t="str">
        <f>HYPERLINK("https://znanium.com/catalog/product/522397", "Ознакомиться")</f>
        <v>Ознакомиться</v>
      </c>
      <c r="W1408" s="8" t="s">
        <v>45</v>
      </c>
      <c r="X1408" s="6"/>
      <c r="Y1408" s="6"/>
      <c r="Z1408" s="6"/>
      <c r="AA1408" s="6" t="s">
        <v>298</v>
      </c>
    </row>
    <row r="1409" spans="1:27" s="4" customFormat="1" ht="51.95" customHeight="1">
      <c r="A1409" s="5">
        <v>0</v>
      </c>
      <c r="B1409" s="6" t="s">
        <v>7622</v>
      </c>
      <c r="C1409" s="7">
        <v>660</v>
      </c>
      <c r="D1409" s="8" t="s">
        <v>7623</v>
      </c>
      <c r="E1409" s="8" t="s">
        <v>7624</v>
      </c>
      <c r="F1409" s="8" t="s">
        <v>5711</v>
      </c>
      <c r="G1409" s="6" t="s">
        <v>51</v>
      </c>
      <c r="H1409" s="6" t="s">
        <v>52</v>
      </c>
      <c r="I1409" s="8" t="s">
        <v>120</v>
      </c>
      <c r="J1409" s="9">
        <v>1</v>
      </c>
      <c r="K1409" s="9">
        <v>147</v>
      </c>
      <c r="L1409" s="9">
        <v>2023</v>
      </c>
      <c r="M1409" s="8" t="s">
        <v>7625</v>
      </c>
      <c r="N1409" s="8" t="s">
        <v>40</v>
      </c>
      <c r="O1409" s="8" t="s">
        <v>41</v>
      </c>
      <c r="P1409" s="6" t="s">
        <v>75</v>
      </c>
      <c r="Q1409" s="8" t="s">
        <v>680</v>
      </c>
      <c r="R1409" s="10" t="s">
        <v>3183</v>
      </c>
      <c r="S1409" s="11"/>
      <c r="T1409" s="6"/>
      <c r="U1409" s="28" t="str">
        <f>HYPERLINK("https://media.infra-m.ru/1915/1915598/cover/1915598.jpg", "Обложка")</f>
        <v>Обложка</v>
      </c>
      <c r="V1409" s="28" t="str">
        <f>HYPERLINK("https://znanium.com/catalog/product/1915598", "Ознакомиться")</f>
        <v>Ознакомиться</v>
      </c>
      <c r="W1409" s="8" t="s">
        <v>692</v>
      </c>
      <c r="X1409" s="6"/>
      <c r="Y1409" s="6"/>
      <c r="Z1409" s="6"/>
      <c r="AA1409" s="6" t="s">
        <v>46</v>
      </c>
    </row>
    <row r="1410" spans="1:27" s="4" customFormat="1" ht="51.95" customHeight="1">
      <c r="A1410" s="5">
        <v>0</v>
      </c>
      <c r="B1410" s="6" t="s">
        <v>7626</v>
      </c>
      <c r="C1410" s="7">
        <v>724.9</v>
      </c>
      <c r="D1410" s="8" t="s">
        <v>7627</v>
      </c>
      <c r="E1410" s="8" t="s">
        <v>7628</v>
      </c>
      <c r="F1410" s="8" t="s">
        <v>7629</v>
      </c>
      <c r="G1410" s="6" t="s">
        <v>58</v>
      </c>
      <c r="H1410" s="6" t="s">
        <v>38</v>
      </c>
      <c r="I1410" s="8"/>
      <c r="J1410" s="9">
        <v>1</v>
      </c>
      <c r="K1410" s="9">
        <v>192</v>
      </c>
      <c r="L1410" s="9">
        <v>2022</v>
      </c>
      <c r="M1410" s="8" t="s">
        <v>7630</v>
      </c>
      <c r="N1410" s="8" t="s">
        <v>40</v>
      </c>
      <c r="O1410" s="8" t="s">
        <v>41</v>
      </c>
      <c r="P1410" s="6" t="s">
        <v>75</v>
      </c>
      <c r="Q1410" s="8" t="s">
        <v>76</v>
      </c>
      <c r="R1410" s="10" t="s">
        <v>122</v>
      </c>
      <c r="S1410" s="11"/>
      <c r="T1410" s="6"/>
      <c r="U1410" s="28" t="str">
        <f>HYPERLINK("https://media.infra-m.ru/1864/1864479/cover/1864479.jpg", "Обложка")</f>
        <v>Обложка</v>
      </c>
      <c r="V1410" s="28" t="str">
        <f>HYPERLINK("https://znanium.com/catalog/product/1092013", "Ознакомиться")</f>
        <v>Ознакомиться</v>
      </c>
      <c r="W1410" s="8" t="s">
        <v>114</v>
      </c>
      <c r="X1410" s="6"/>
      <c r="Y1410" s="6"/>
      <c r="Z1410" s="6"/>
      <c r="AA1410" s="6" t="s">
        <v>148</v>
      </c>
    </row>
    <row r="1411" spans="1:27" s="4" customFormat="1" ht="51.95" customHeight="1">
      <c r="A1411" s="5">
        <v>0</v>
      </c>
      <c r="B1411" s="6" t="s">
        <v>7631</v>
      </c>
      <c r="C1411" s="7">
        <v>644.9</v>
      </c>
      <c r="D1411" s="8" t="s">
        <v>7632</v>
      </c>
      <c r="E1411" s="8" t="s">
        <v>7633</v>
      </c>
      <c r="F1411" s="8" t="s">
        <v>7634</v>
      </c>
      <c r="G1411" s="6" t="s">
        <v>51</v>
      </c>
      <c r="H1411" s="6" t="s">
        <v>38</v>
      </c>
      <c r="I1411" s="8"/>
      <c r="J1411" s="9">
        <v>1</v>
      </c>
      <c r="K1411" s="9">
        <v>256</v>
      </c>
      <c r="L1411" s="9">
        <v>2019</v>
      </c>
      <c r="M1411" s="8" t="s">
        <v>7635</v>
      </c>
      <c r="N1411" s="8" t="s">
        <v>40</v>
      </c>
      <c r="O1411" s="8" t="s">
        <v>41</v>
      </c>
      <c r="P1411" s="6" t="s">
        <v>4752</v>
      </c>
      <c r="Q1411" s="8" t="s">
        <v>76</v>
      </c>
      <c r="R1411" s="10" t="s">
        <v>7636</v>
      </c>
      <c r="S1411" s="11"/>
      <c r="T1411" s="6"/>
      <c r="U1411" s="28" t="str">
        <f>HYPERLINK("https://media.infra-m.ru/1007/1007471/cover/1007471.jpg", "Обложка")</f>
        <v>Обложка</v>
      </c>
      <c r="V1411" s="28" t="str">
        <f>HYPERLINK("https://znanium.com/catalog/product/1007471", "Ознакомиться")</f>
        <v>Ознакомиться</v>
      </c>
      <c r="W1411" s="8" t="s">
        <v>813</v>
      </c>
      <c r="X1411" s="6"/>
      <c r="Y1411" s="6"/>
      <c r="Z1411" s="6"/>
      <c r="AA1411" s="6" t="s">
        <v>422</v>
      </c>
    </row>
    <row r="1412" spans="1:27" s="4" customFormat="1" ht="51.95" customHeight="1">
      <c r="A1412" s="5">
        <v>0</v>
      </c>
      <c r="B1412" s="6" t="s">
        <v>7637</v>
      </c>
      <c r="C1412" s="13">
        <v>1189.9000000000001</v>
      </c>
      <c r="D1412" s="8" t="s">
        <v>7638</v>
      </c>
      <c r="E1412" s="8" t="s">
        <v>7639</v>
      </c>
      <c r="F1412" s="8" t="s">
        <v>7640</v>
      </c>
      <c r="G1412" s="6" t="s">
        <v>58</v>
      </c>
      <c r="H1412" s="6" t="s">
        <v>38</v>
      </c>
      <c r="I1412" s="8"/>
      <c r="J1412" s="9">
        <v>1</v>
      </c>
      <c r="K1412" s="9">
        <v>296</v>
      </c>
      <c r="L1412" s="9">
        <v>2022</v>
      </c>
      <c r="M1412" s="8" t="s">
        <v>7641</v>
      </c>
      <c r="N1412" s="8" t="s">
        <v>40</v>
      </c>
      <c r="O1412" s="8" t="s">
        <v>41</v>
      </c>
      <c r="P1412" s="6" t="s">
        <v>75</v>
      </c>
      <c r="Q1412" s="8" t="s">
        <v>76</v>
      </c>
      <c r="R1412" s="10" t="s">
        <v>7642</v>
      </c>
      <c r="S1412" s="11"/>
      <c r="T1412" s="6"/>
      <c r="U1412" s="28" t="str">
        <f>HYPERLINK("https://media.infra-m.ru/1860/1860797/cover/1860797.jpg", "Обложка")</f>
        <v>Обложка</v>
      </c>
      <c r="V1412" s="28" t="str">
        <f>HYPERLINK("https://znanium.com/catalog/product/1860797", "Ознакомиться")</f>
        <v>Ознакомиться</v>
      </c>
      <c r="W1412" s="8" t="s">
        <v>414</v>
      </c>
      <c r="X1412" s="6"/>
      <c r="Y1412" s="6"/>
      <c r="Z1412" s="6"/>
      <c r="AA1412" s="6" t="s">
        <v>343</v>
      </c>
    </row>
    <row r="1413" spans="1:27" s="4" customFormat="1" ht="51.95" customHeight="1">
      <c r="A1413" s="5">
        <v>0</v>
      </c>
      <c r="B1413" s="6" t="s">
        <v>7643</v>
      </c>
      <c r="C1413" s="7">
        <v>820</v>
      </c>
      <c r="D1413" s="8" t="s">
        <v>7644</v>
      </c>
      <c r="E1413" s="8" t="s">
        <v>7645</v>
      </c>
      <c r="F1413" s="8" t="s">
        <v>7646</v>
      </c>
      <c r="G1413" s="6" t="s">
        <v>51</v>
      </c>
      <c r="H1413" s="6" t="s">
        <v>38</v>
      </c>
      <c r="I1413" s="8"/>
      <c r="J1413" s="9">
        <v>1</v>
      </c>
      <c r="K1413" s="9">
        <v>176</v>
      </c>
      <c r="L1413" s="9">
        <v>2024</v>
      </c>
      <c r="M1413" s="8" t="s">
        <v>7647</v>
      </c>
      <c r="N1413" s="8" t="s">
        <v>40</v>
      </c>
      <c r="O1413" s="8" t="s">
        <v>41</v>
      </c>
      <c r="P1413" s="6" t="s">
        <v>75</v>
      </c>
      <c r="Q1413" s="8" t="s">
        <v>76</v>
      </c>
      <c r="R1413" s="10" t="s">
        <v>7648</v>
      </c>
      <c r="S1413" s="11"/>
      <c r="T1413" s="6"/>
      <c r="U1413" s="28" t="str">
        <f>HYPERLINK("https://media.infra-m.ru/2117/2117563/cover/2117563.jpg", "Обложка")</f>
        <v>Обложка</v>
      </c>
      <c r="V1413" s="28" t="str">
        <f>HYPERLINK("https://znanium.com/catalog/product/2117563", "Ознакомиться")</f>
        <v>Ознакомиться</v>
      </c>
      <c r="W1413" s="8" t="s">
        <v>114</v>
      </c>
      <c r="X1413" s="6"/>
      <c r="Y1413" s="6"/>
      <c r="Z1413" s="6"/>
      <c r="AA1413" s="6" t="s">
        <v>298</v>
      </c>
    </row>
    <row r="1414" spans="1:27" s="4" customFormat="1" ht="42" customHeight="1">
      <c r="A1414" s="5">
        <v>0</v>
      </c>
      <c r="B1414" s="6" t="s">
        <v>7649</v>
      </c>
      <c r="C1414" s="13">
        <v>1990</v>
      </c>
      <c r="D1414" s="8" t="s">
        <v>7650</v>
      </c>
      <c r="E1414" s="8" t="s">
        <v>7651</v>
      </c>
      <c r="F1414" s="8" t="s">
        <v>7652</v>
      </c>
      <c r="G1414" s="6" t="s">
        <v>37</v>
      </c>
      <c r="H1414" s="6" t="s">
        <v>52</v>
      </c>
      <c r="I1414" s="8" t="s">
        <v>251</v>
      </c>
      <c r="J1414" s="9">
        <v>1</v>
      </c>
      <c r="K1414" s="9">
        <v>590</v>
      </c>
      <c r="L1414" s="9">
        <v>2022</v>
      </c>
      <c r="M1414" s="8" t="s">
        <v>7653</v>
      </c>
      <c r="N1414" s="8" t="s">
        <v>40</v>
      </c>
      <c r="O1414" s="8" t="s">
        <v>41</v>
      </c>
      <c r="P1414" s="6" t="s">
        <v>42</v>
      </c>
      <c r="Q1414" s="8" t="s">
        <v>43</v>
      </c>
      <c r="R1414" s="10" t="s">
        <v>69</v>
      </c>
      <c r="S1414" s="11"/>
      <c r="T1414" s="6"/>
      <c r="U1414" s="28" t="str">
        <f>HYPERLINK("https://media.infra-m.ru/1863/1863277/cover/1863277.jpg", "Обложка")</f>
        <v>Обложка</v>
      </c>
      <c r="V1414" s="12"/>
      <c r="W1414" s="8" t="s">
        <v>458</v>
      </c>
      <c r="X1414" s="6"/>
      <c r="Y1414" s="6"/>
      <c r="Z1414" s="6"/>
      <c r="AA1414" s="6" t="s">
        <v>343</v>
      </c>
    </row>
    <row r="1415" spans="1:27" s="4" customFormat="1" ht="51.95" customHeight="1">
      <c r="A1415" s="5">
        <v>0</v>
      </c>
      <c r="B1415" s="6" t="s">
        <v>7654</v>
      </c>
      <c r="C1415" s="13">
        <v>1030</v>
      </c>
      <c r="D1415" s="8" t="s">
        <v>7655</v>
      </c>
      <c r="E1415" s="8" t="s">
        <v>7651</v>
      </c>
      <c r="F1415" s="8" t="s">
        <v>7656</v>
      </c>
      <c r="G1415" s="6" t="s">
        <v>58</v>
      </c>
      <c r="H1415" s="6" t="s">
        <v>52</v>
      </c>
      <c r="I1415" s="8" t="s">
        <v>251</v>
      </c>
      <c r="J1415" s="9">
        <v>1</v>
      </c>
      <c r="K1415" s="9">
        <v>263</v>
      </c>
      <c r="L1415" s="9">
        <v>2022</v>
      </c>
      <c r="M1415" s="8" t="s">
        <v>7657</v>
      </c>
      <c r="N1415" s="8" t="s">
        <v>40</v>
      </c>
      <c r="O1415" s="8" t="s">
        <v>41</v>
      </c>
      <c r="P1415" s="6" t="s">
        <v>42</v>
      </c>
      <c r="Q1415" s="8" t="s">
        <v>43</v>
      </c>
      <c r="R1415" s="10" t="s">
        <v>931</v>
      </c>
      <c r="S1415" s="11"/>
      <c r="T1415" s="6"/>
      <c r="U1415" s="28" t="str">
        <f>HYPERLINK("https://media.infra-m.ru/1862/1862590/cover/1862590.jpg", "Обложка")</f>
        <v>Обложка</v>
      </c>
      <c r="V1415" s="12"/>
      <c r="W1415" s="8" t="s">
        <v>458</v>
      </c>
      <c r="X1415" s="6"/>
      <c r="Y1415" s="6"/>
      <c r="Z1415" s="6"/>
      <c r="AA1415" s="6" t="s">
        <v>343</v>
      </c>
    </row>
    <row r="1416" spans="1:27" s="4" customFormat="1" ht="42" customHeight="1">
      <c r="A1416" s="5">
        <v>0</v>
      </c>
      <c r="B1416" s="6" t="s">
        <v>7658</v>
      </c>
      <c r="C1416" s="7">
        <v>520</v>
      </c>
      <c r="D1416" s="8" t="s">
        <v>7659</v>
      </c>
      <c r="E1416" s="8" t="s">
        <v>7660</v>
      </c>
      <c r="F1416" s="8" t="s">
        <v>7661</v>
      </c>
      <c r="G1416" s="6" t="s">
        <v>51</v>
      </c>
      <c r="H1416" s="6" t="s">
        <v>52</v>
      </c>
      <c r="I1416" s="8" t="s">
        <v>251</v>
      </c>
      <c r="J1416" s="9">
        <v>1</v>
      </c>
      <c r="K1416" s="9">
        <v>140</v>
      </c>
      <c r="L1416" s="9">
        <v>2021</v>
      </c>
      <c r="M1416" s="8" t="s">
        <v>7662</v>
      </c>
      <c r="N1416" s="8" t="s">
        <v>40</v>
      </c>
      <c r="O1416" s="8" t="s">
        <v>41</v>
      </c>
      <c r="P1416" s="6" t="s">
        <v>42</v>
      </c>
      <c r="Q1416" s="8" t="s">
        <v>43</v>
      </c>
      <c r="R1416" s="10" t="s">
        <v>310</v>
      </c>
      <c r="S1416" s="11"/>
      <c r="T1416" s="6"/>
      <c r="U1416" s="28" t="str">
        <f>HYPERLINK("https://media.infra-m.ru/1277/1277649/cover/1277649.jpg", "Обложка")</f>
        <v>Обложка</v>
      </c>
      <c r="V1416" s="28" t="str">
        <f>HYPERLINK("https://znanium.com/catalog/product/1277649", "Ознакомиться")</f>
        <v>Ознакомиться</v>
      </c>
      <c r="W1416" s="8" t="s">
        <v>458</v>
      </c>
      <c r="X1416" s="6"/>
      <c r="Y1416" s="6"/>
      <c r="Z1416" s="6"/>
      <c r="AA1416" s="6" t="s">
        <v>289</v>
      </c>
    </row>
    <row r="1417" spans="1:27" s="4" customFormat="1" ht="44.1" customHeight="1">
      <c r="A1417" s="5">
        <v>0</v>
      </c>
      <c r="B1417" s="6" t="s">
        <v>7663</v>
      </c>
      <c r="C1417" s="7">
        <v>950</v>
      </c>
      <c r="D1417" s="8" t="s">
        <v>7664</v>
      </c>
      <c r="E1417" s="8" t="s">
        <v>7665</v>
      </c>
      <c r="F1417" s="8" t="s">
        <v>7666</v>
      </c>
      <c r="G1417" s="6" t="s">
        <v>58</v>
      </c>
      <c r="H1417" s="6" t="s">
        <v>84</v>
      </c>
      <c r="I1417" s="8" t="s">
        <v>85</v>
      </c>
      <c r="J1417" s="9">
        <v>1</v>
      </c>
      <c r="K1417" s="9">
        <v>304</v>
      </c>
      <c r="L1417" s="9">
        <v>2017</v>
      </c>
      <c r="M1417" s="8" t="s">
        <v>7667</v>
      </c>
      <c r="N1417" s="8" t="s">
        <v>40</v>
      </c>
      <c r="O1417" s="8" t="s">
        <v>41</v>
      </c>
      <c r="P1417" s="6" t="s">
        <v>42</v>
      </c>
      <c r="Q1417" s="8" t="s">
        <v>296</v>
      </c>
      <c r="R1417" s="10" t="s">
        <v>7668</v>
      </c>
      <c r="S1417" s="11"/>
      <c r="T1417" s="6"/>
      <c r="U1417" s="28" t="str">
        <f>HYPERLINK("https://media.infra-m.ru/0902/0902299/cover/902299.jpg", "Обложка")</f>
        <v>Обложка</v>
      </c>
      <c r="V1417" s="28" t="str">
        <f>HYPERLINK("https://znanium.com/catalog/product/902299", "Ознакомиться")</f>
        <v>Ознакомиться</v>
      </c>
      <c r="W1417" s="8" t="s">
        <v>45</v>
      </c>
      <c r="X1417" s="6"/>
      <c r="Y1417" s="6"/>
      <c r="Z1417" s="6"/>
      <c r="AA1417" s="6" t="s">
        <v>289</v>
      </c>
    </row>
    <row r="1418" spans="1:27" s="4" customFormat="1" ht="51.95" customHeight="1">
      <c r="A1418" s="5">
        <v>0</v>
      </c>
      <c r="B1418" s="6" t="s">
        <v>7669</v>
      </c>
      <c r="C1418" s="13">
        <v>1910</v>
      </c>
      <c r="D1418" s="8" t="s">
        <v>7670</v>
      </c>
      <c r="E1418" s="8" t="s">
        <v>7671</v>
      </c>
      <c r="F1418" s="8" t="s">
        <v>7672</v>
      </c>
      <c r="G1418" s="6" t="s">
        <v>58</v>
      </c>
      <c r="H1418" s="6" t="s">
        <v>38</v>
      </c>
      <c r="I1418" s="8"/>
      <c r="J1418" s="9">
        <v>1</v>
      </c>
      <c r="K1418" s="9">
        <v>416</v>
      </c>
      <c r="L1418" s="9">
        <v>2024</v>
      </c>
      <c r="M1418" s="8" t="s">
        <v>7673</v>
      </c>
      <c r="N1418" s="8" t="s">
        <v>40</v>
      </c>
      <c r="O1418" s="8" t="s">
        <v>41</v>
      </c>
      <c r="P1418" s="6" t="s">
        <v>95</v>
      </c>
      <c r="Q1418" s="8" t="s">
        <v>76</v>
      </c>
      <c r="R1418" s="10" t="s">
        <v>235</v>
      </c>
      <c r="S1418" s="11" t="s">
        <v>7674</v>
      </c>
      <c r="T1418" s="6"/>
      <c r="U1418" s="28" t="str">
        <f>HYPERLINK("https://media.infra-m.ru/2056/2056653/cover/2056653.jpg", "Обложка")</f>
        <v>Обложка</v>
      </c>
      <c r="V1418" s="28" t="str">
        <f>HYPERLINK("https://znanium.com/catalog/product/2056653", "Ознакомиться")</f>
        <v>Ознакомиться</v>
      </c>
      <c r="W1418" s="8" t="s">
        <v>124</v>
      </c>
      <c r="X1418" s="6"/>
      <c r="Y1418" s="6"/>
      <c r="Z1418" s="6"/>
      <c r="AA1418" s="6" t="s">
        <v>215</v>
      </c>
    </row>
    <row r="1419" spans="1:27" s="4" customFormat="1" ht="51.95" customHeight="1">
      <c r="A1419" s="5">
        <v>0</v>
      </c>
      <c r="B1419" s="6" t="s">
        <v>7675</v>
      </c>
      <c r="C1419" s="13">
        <v>1990</v>
      </c>
      <c r="D1419" s="8" t="s">
        <v>7676</v>
      </c>
      <c r="E1419" s="8" t="s">
        <v>7677</v>
      </c>
      <c r="F1419" s="8" t="s">
        <v>7678</v>
      </c>
      <c r="G1419" s="6" t="s">
        <v>37</v>
      </c>
      <c r="H1419" s="6" t="s">
        <v>38</v>
      </c>
      <c r="I1419" s="8"/>
      <c r="J1419" s="9">
        <v>1</v>
      </c>
      <c r="K1419" s="9">
        <v>640</v>
      </c>
      <c r="L1419" s="9">
        <v>2021</v>
      </c>
      <c r="M1419" s="8" t="s">
        <v>7679</v>
      </c>
      <c r="N1419" s="8" t="s">
        <v>40</v>
      </c>
      <c r="O1419" s="8" t="s">
        <v>41</v>
      </c>
      <c r="P1419" s="6" t="s">
        <v>95</v>
      </c>
      <c r="Q1419" s="8" t="s">
        <v>157</v>
      </c>
      <c r="R1419" s="10" t="s">
        <v>1900</v>
      </c>
      <c r="S1419" s="11"/>
      <c r="T1419" s="6"/>
      <c r="U1419" s="28" t="str">
        <f>HYPERLINK("https://media.infra-m.ru/1640/1640460/cover/1640460.jpg", "Обложка")</f>
        <v>Обложка</v>
      </c>
      <c r="V1419" s="28" t="str">
        <f>HYPERLINK("https://znanium.com/catalog/product/1640460", "Ознакомиться")</f>
        <v>Ознакомиться</v>
      </c>
      <c r="W1419" s="8" t="s">
        <v>114</v>
      </c>
      <c r="X1419" s="6"/>
      <c r="Y1419" s="6"/>
      <c r="Z1419" s="6"/>
      <c r="AA1419" s="6" t="s">
        <v>2560</v>
      </c>
    </row>
    <row r="1420" spans="1:27" s="4" customFormat="1" ht="44.1" customHeight="1">
      <c r="A1420" s="5">
        <v>0</v>
      </c>
      <c r="B1420" s="6" t="s">
        <v>7680</v>
      </c>
      <c r="C1420" s="7">
        <v>944.9</v>
      </c>
      <c r="D1420" s="8" t="s">
        <v>7681</v>
      </c>
      <c r="E1420" s="8" t="s">
        <v>7624</v>
      </c>
      <c r="F1420" s="8" t="s">
        <v>7678</v>
      </c>
      <c r="G1420" s="6" t="s">
        <v>51</v>
      </c>
      <c r="H1420" s="6" t="s">
        <v>400</v>
      </c>
      <c r="I1420" s="8" t="s">
        <v>1087</v>
      </c>
      <c r="J1420" s="9">
        <v>1</v>
      </c>
      <c r="K1420" s="9">
        <v>256</v>
      </c>
      <c r="L1420" s="9">
        <v>2022</v>
      </c>
      <c r="M1420" s="8" t="s">
        <v>7682</v>
      </c>
      <c r="N1420" s="8" t="s">
        <v>40</v>
      </c>
      <c r="O1420" s="8" t="s">
        <v>41</v>
      </c>
      <c r="P1420" s="6" t="s">
        <v>523</v>
      </c>
      <c r="Q1420" s="8" t="s">
        <v>76</v>
      </c>
      <c r="R1420" s="10" t="s">
        <v>7683</v>
      </c>
      <c r="S1420" s="11"/>
      <c r="T1420" s="6"/>
      <c r="U1420" s="28" t="str">
        <f>HYPERLINK("https://media.infra-m.ru/1853/1853502/cover/1853502.jpg", "Обложка")</f>
        <v>Обложка</v>
      </c>
      <c r="V1420" s="28" t="str">
        <f>HYPERLINK("https://znanium.com/catalog/product/987781", "Ознакомиться")</f>
        <v>Ознакомиться</v>
      </c>
      <c r="W1420" s="8" t="s">
        <v>114</v>
      </c>
      <c r="X1420" s="6"/>
      <c r="Y1420" s="6"/>
      <c r="Z1420" s="6"/>
      <c r="AA1420" s="6" t="s">
        <v>6845</v>
      </c>
    </row>
    <row r="1421" spans="1:27" s="4" customFormat="1" ht="51.95" customHeight="1">
      <c r="A1421" s="5">
        <v>0</v>
      </c>
      <c r="B1421" s="6" t="s">
        <v>7684</v>
      </c>
      <c r="C1421" s="13">
        <v>2300</v>
      </c>
      <c r="D1421" s="8" t="s">
        <v>7685</v>
      </c>
      <c r="E1421" s="8" t="s">
        <v>7624</v>
      </c>
      <c r="F1421" s="8" t="s">
        <v>4187</v>
      </c>
      <c r="G1421" s="6" t="s">
        <v>58</v>
      </c>
      <c r="H1421" s="6" t="s">
        <v>38</v>
      </c>
      <c r="I1421" s="8"/>
      <c r="J1421" s="9">
        <v>1</v>
      </c>
      <c r="K1421" s="9">
        <v>512</v>
      </c>
      <c r="L1421" s="9">
        <v>2023</v>
      </c>
      <c r="M1421" s="8" t="s">
        <v>7686</v>
      </c>
      <c r="N1421" s="8" t="s">
        <v>40</v>
      </c>
      <c r="O1421" s="8" t="s">
        <v>41</v>
      </c>
      <c r="P1421" s="6" t="s">
        <v>95</v>
      </c>
      <c r="Q1421" s="8" t="s">
        <v>157</v>
      </c>
      <c r="R1421" s="10" t="s">
        <v>7687</v>
      </c>
      <c r="S1421" s="11" t="s">
        <v>7688</v>
      </c>
      <c r="T1421" s="6"/>
      <c r="U1421" s="28" t="str">
        <f>HYPERLINK("https://media.infra-m.ru/1912/1912365/cover/1912365.jpg", "Обложка")</f>
        <v>Обложка</v>
      </c>
      <c r="V1421" s="28" t="str">
        <f>HYPERLINK("https://znanium.com/catalog/product/1912365", "Ознакомиться")</f>
        <v>Ознакомиться</v>
      </c>
      <c r="W1421" s="8" t="s">
        <v>114</v>
      </c>
      <c r="X1421" s="6"/>
      <c r="Y1421" s="6"/>
      <c r="Z1421" s="6"/>
      <c r="AA1421" s="6" t="s">
        <v>3940</v>
      </c>
    </row>
    <row r="1422" spans="1:27" s="4" customFormat="1" ht="51.95" customHeight="1">
      <c r="A1422" s="5">
        <v>0</v>
      </c>
      <c r="B1422" s="6" t="s">
        <v>7689</v>
      </c>
      <c r="C1422" s="7">
        <v>344.9</v>
      </c>
      <c r="D1422" s="8" t="s">
        <v>7690</v>
      </c>
      <c r="E1422" s="8" t="s">
        <v>7624</v>
      </c>
      <c r="F1422" s="8" t="s">
        <v>7691</v>
      </c>
      <c r="G1422" s="6" t="s">
        <v>51</v>
      </c>
      <c r="H1422" s="6" t="s">
        <v>52</v>
      </c>
      <c r="I1422" s="8"/>
      <c r="J1422" s="9">
        <v>1</v>
      </c>
      <c r="K1422" s="9">
        <v>94</v>
      </c>
      <c r="L1422" s="9">
        <v>2023</v>
      </c>
      <c r="M1422" s="8" t="s">
        <v>7692</v>
      </c>
      <c r="N1422" s="8" t="s">
        <v>40</v>
      </c>
      <c r="O1422" s="8" t="s">
        <v>41</v>
      </c>
      <c r="P1422" s="6" t="s">
        <v>75</v>
      </c>
      <c r="Q1422" s="8" t="s">
        <v>76</v>
      </c>
      <c r="R1422" s="10" t="s">
        <v>7693</v>
      </c>
      <c r="S1422" s="11"/>
      <c r="T1422" s="6"/>
      <c r="U1422" s="28" t="str">
        <f>HYPERLINK("https://media.infra-m.ru/1988/1988444/cover/1988444.jpg", "Обложка")</f>
        <v>Обложка</v>
      </c>
      <c r="V1422" s="28" t="str">
        <f>HYPERLINK("https://znanium.com/catalog/product/1854790", "Ознакомиться")</f>
        <v>Ознакомиться</v>
      </c>
      <c r="W1422" s="8" t="s">
        <v>7694</v>
      </c>
      <c r="X1422" s="6"/>
      <c r="Y1422" s="6"/>
      <c r="Z1422" s="6"/>
      <c r="AA1422" s="6" t="s">
        <v>622</v>
      </c>
    </row>
    <row r="1423" spans="1:27" s="4" customFormat="1" ht="51.95" customHeight="1">
      <c r="A1423" s="5">
        <v>0</v>
      </c>
      <c r="B1423" s="6" t="s">
        <v>7695</v>
      </c>
      <c r="C1423" s="7">
        <v>794.9</v>
      </c>
      <c r="D1423" s="8" t="s">
        <v>7696</v>
      </c>
      <c r="E1423" s="8" t="s">
        <v>7624</v>
      </c>
      <c r="F1423" s="8" t="s">
        <v>7697</v>
      </c>
      <c r="G1423" s="6" t="s">
        <v>58</v>
      </c>
      <c r="H1423" s="6" t="s">
        <v>52</v>
      </c>
      <c r="I1423" s="8" t="s">
        <v>185</v>
      </c>
      <c r="J1423" s="9">
        <v>1</v>
      </c>
      <c r="K1423" s="9">
        <v>176</v>
      </c>
      <c r="L1423" s="9">
        <v>2023</v>
      </c>
      <c r="M1423" s="8" t="s">
        <v>7698</v>
      </c>
      <c r="N1423" s="8" t="s">
        <v>40</v>
      </c>
      <c r="O1423" s="8" t="s">
        <v>41</v>
      </c>
      <c r="P1423" s="6" t="s">
        <v>75</v>
      </c>
      <c r="Q1423" s="8" t="s">
        <v>76</v>
      </c>
      <c r="R1423" s="10" t="s">
        <v>2994</v>
      </c>
      <c r="S1423" s="11"/>
      <c r="T1423" s="6"/>
      <c r="U1423" s="28" t="str">
        <f>HYPERLINK("https://media.infra-m.ru/1915/1915600/cover/1915600.jpg", "Обложка")</f>
        <v>Обложка</v>
      </c>
      <c r="V1423" s="28" t="str">
        <f>HYPERLINK("https://znanium.com/catalog/product/1843600", "Ознакомиться")</f>
        <v>Ознакомиться</v>
      </c>
      <c r="W1423" s="8" t="s">
        <v>7699</v>
      </c>
      <c r="X1423" s="6"/>
      <c r="Y1423" s="6"/>
      <c r="Z1423" s="6"/>
      <c r="AA1423" s="6" t="s">
        <v>415</v>
      </c>
    </row>
    <row r="1424" spans="1:27" s="4" customFormat="1" ht="51.95" customHeight="1">
      <c r="A1424" s="5">
        <v>0</v>
      </c>
      <c r="B1424" s="6" t="s">
        <v>7700</v>
      </c>
      <c r="C1424" s="13">
        <v>1030</v>
      </c>
      <c r="D1424" s="8" t="s">
        <v>7701</v>
      </c>
      <c r="E1424" s="8" t="s">
        <v>7624</v>
      </c>
      <c r="F1424" s="8" t="s">
        <v>7702</v>
      </c>
      <c r="G1424" s="6" t="s">
        <v>37</v>
      </c>
      <c r="H1424" s="6" t="s">
        <v>52</v>
      </c>
      <c r="I1424" s="8" t="s">
        <v>185</v>
      </c>
      <c r="J1424" s="9">
        <v>1</v>
      </c>
      <c r="K1424" s="9">
        <v>270</v>
      </c>
      <c r="L1424" s="9">
        <v>2022</v>
      </c>
      <c r="M1424" s="8" t="s">
        <v>7703</v>
      </c>
      <c r="N1424" s="8" t="s">
        <v>40</v>
      </c>
      <c r="O1424" s="8" t="s">
        <v>41</v>
      </c>
      <c r="P1424" s="6" t="s">
        <v>75</v>
      </c>
      <c r="Q1424" s="8" t="s">
        <v>76</v>
      </c>
      <c r="R1424" s="10" t="s">
        <v>3183</v>
      </c>
      <c r="S1424" s="11"/>
      <c r="T1424" s="6"/>
      <c r="U1424" s="28" t="str">
        <f>HYPERLINK("https://media.infra-m.ru/1854/1854774/cover/1854774.jpg", "Обложка")</f>
        <v>Обложка</v>
      </c>
      <c r="V1424" s="28" t="str">
        <f>HYPERLINK("https://znanium.com/catalog/product/1854774", "Ознакомиться")</f>
        <v>Ознакомиться</v>
      </c>
      <c r="W1424" s="8"/>
      <c r="X1424" s="6"/>
      <c r="Y1424" s="6"/>
      <c r="Z1424" s="6"/>
      <c r="AA1424" s="6" t="s">
        <v>88</v>
      </c>
    </row>
    <row r="1425" spans="1:27" s="4" customFormat="1" ht="51.95" customHeight="1">
      <c r="A1425" s="5">
        <v>0</v>
      </c>
      <c r="B1425" s="6" t="s">
        <v>7704</v>
      </c>
      <c r="C1425" s="13">
        <v>1290</v>
      </c>
      <c r="D1425" s="8" t="s">
        <v>7705</v>
      </c>
      <c r="E1425" s="8" t="s">
        <v>7706</v>
      </c>
      <c r="F1425" s="8" t="s">
        <v>7707</v>
      </c>
      <c r="G1425" s="6" t="s">
        <v>37</v>
      </c>
      <c r="H1425" s="6" t="s">
        <v>38</v>
      </c>
      <c r="I1425" s="8"/>
      <c r="J1425" s="9">
        <v>1</v>
      </c>
      <c r="K1425" s="9">
        <v>288</v>
      </c>
      <c r="L1425" s="9">
        <v>2023</v>
      </c>
      <c r="M1425" s="8" t="s">
        <v>7708</v>
      </c>
      <c r="N1425" s="8" t="s">
        <v>40</v>
      </c>
      <c r="O1425" s="8" t="s">
        <v>41</v>
      </c>
      <c r="P1425" s="6" t="s">
        <v>95</v>
      </c>
      <c r="Q1425" s="8" t="s">
        <v>76</v>
      </c>
      <c r="R1425" s="10" t="s">
        <v>235</v>
      </c>
      <c r="S1425" s="11"/>
      <c r="T1425" s="6"/>
      <c r="U1425" s="28" t="str">
        <f>HYPERLINK("https://media.infra-m.ru/2018/2018261/cover/2018261.jpg", "Обложка")</f>
        <v>Обложка</v>
      </c>
      <c r="V1425" s="28" t="str">
        <f>HYPERLINK("https://znanium.com/catalog/product/2018261", "Ознакомиться")</f>
        <v>Ознакомиться</v>
      </c>
      <c r="W1425" s="8" t="s">
        <v>2373</v>
      </c>
      <c r="X1425" s="6"/>
      <c r="Y1425" s="6"/>
      <c r="Z1425" s="6"/>
      <c r="AA1425" s="6" t="s">
        <v>422</v>
      </c>
    </row>
    <row r="1426" spans="1:27" s="4" customFormat="1" ht="51.95" customHeight="1">
      <c r="A1426" s="5">
        <v>0</v>
      </c>
      <c r="B1426" s="6" t="s">
        <v>7709</v>
      </c>
      <c r="C1426" s="13">
        <v>1434.9</v>
      </c>
      <c r="D1426" s="8" t="s">
        <v>7710</v>
      </c>
      <c r="E1426" s="8" t="s">
        <v>7711</v>
      </c>
      <c r="F1426" s="8" t="s">
        <v>7712</v>
      </c>
      <c r="G1426" s="6" t="s">
        <v>58</v>
      </c>
      <c r="H1426" s="6" t="s">
        <v>38</v>
      </c>
      <c r="I1426" s="8"/>
      <c r="J1426" s="9">
        <v>1</v>
      </c>
      <c r="K1426" s="9">
        <v>448</v>
      </c>
      <c r="L1426" s="9">
        <v>2019</v>
      </c>
      <c r="M1426" s="8" t="s">
        <v>7713</v>
      </c>
      <c r="N1426" s="8" t="s">
        <v>40</v>
      </c>
      <c r="O1426" s="8" t="s">
        <v>41</v>
      </c>
      <c r="P1426" s="6" t="s">
        <v>95</v>
      </c>
      <c r="Q1426" s="8" t="s">
        <v>76</v>
      </c>
      <c r="R1426" s="10" t="s">
        <v>122</v>
      </c>
      <c r="S1426" s="11"/>
      <c r="T1426" s="6"/>
      <c r="U1426" s="28" t="str">
        <f>HYPERLINK("https://media.infra-m.ru/0982/0982111/cover/982111.jpg", "Обложка")</f>
        <v>Обложка</v>
      </c>
      <c r="V1426" s="28" t="str">
        <f>HYPERLINK("https://znanium.com/catalog/product/1228794", "Ознакомиться")</f>
        <v>Ознакомиться</v>
      </c>
      <c r="W1426" s="8" t="s">
        <v>78</v>
      </c>
      <c r="X1426" s="6"/>
      <c r="Y1426" s="6"/>
      <c r="Z1426" s="6"/>
      <c r="AA1426" s="6" t="s">
        <v>848</v>
      </c>
    </row>
    <row r="1427" spans="1:27" s="4" customFormat="1" ht="51.95" customHeight="1">
      <c r="A1427" s="5">
        <v>0</v>
      </c>
      <c r="B1427" s="6" t="s">
        <v>7714</v>
      </c>
      <c r="C1427" s="7">
        <v>790</v>
      </c>
      <c r="D1427" s="8" t="s">
        <v>7715</v>
      </c>
      <c r="E1427" s="8" t="s">
        <v>7716</v>
      </c>
      <c r="F1427" s="8" t="s">
        <v>7717</v>
      </c>
      <c r="G1427" s="6" t="s">
        <v>51</v>
      </c>
      <c r="H1427" s="6" t="s">
        <v>38</v>
      </c>
      <c r="I1427" s="8"/>
      <c r="J1427" s="9">
        <v>1</v>
      </c>
      <c r="K1427" s="9">
        <v>176</v>
      </c>
      <c r="L1427" s="9">
        <v>2023</v>
      </c>
      <c r="M1427" s="8" t="s">
        <v>7718</v>
      </c>
      <c r="N1427" s="8" t="s">
        <v>40</v>
      </c>
      <c r="O1427" s="8" t="s">
        <v>41</v>
      </c>
      <c r="P1427" s="6" t="s">
        <v>95</v>
      </c>
      <c r="Q1427" s="8" t="s">
        <v>76</v>
      </c>
      <c r="R1427" s="10" t="s">
        <v>235</v>
      </c>
      <c r="S1427" s="11" t="s">
        <v>3112</v>
      </c>
      <c r="T1427" s="6"/>
      <c r="U1427" s="28" t="str">
        <f>HYPERLINK("https://media.infra-m.ru/1893/1893807/cover/1893807.jpg", "Обложка")</f>
        <v>Обложка</v>
      </c>
      <c r="V1427" s="28" t="str">
        <f>HYPERLINK("https://znanium.com/catalog/product/1893807", "Ознакомиться")</f>
        <v>Ознакомиться</v>
      </c>
      <c r="W1427" s="8" t="s">
        <v>503</v>
      </c>
      <c r="X1427" s="6"/>
      <c r="Y1427" s="6"/>
      <c r="Z1427" s="6"/>
      <c r="AA1427" s="6" t="s">
        <v>2006</v>
      </c>
    </row>
    <row r="1428" spans="1:27" s="4" customFormat="1" ht="51.95" customHeight="1">
      <c r="A1428" s="5">
        <v>0</v>
      </c>
      <c r="B1428" s="6" t="s">
        <v>7719</v>
      </c>
      <c r="C1428" s="13">
        <v>1480</v>
      </c>
      <c r="D1428" s="8" t="s">
        <v>7720</v>
      </c>
      <c r="E1428" s="8" t="s">
        <v>7721</v>
      </c>
      <c r="F1428" s="8" t="s">
        <v>7722</v>
      </c>
      <c r="G1428" s="6" t="s">
        <v>37</v>
      </c>
      <c r="H1428" s="6" t="s">
        <v>84</v>
      </c>
      <c r="I1428" s="8" t="s">
        <v>85</v>
      </c>
      <c r="J1428" s="9">
        <v>1</v>
      </c>
      <c r="K1428" s="9">
        <v>352</v>
      </c>
      <c r="L1428" s="9">
        <v>2022</v>
      </c>
      <c r="M1428" s="8" t="s">
        <v>7723</v>
      </c>
      <c r="N1428" s="8" t="s">
        <v>40</v>
      </c>
      <c r="O1428" s="8" t="s">
        <v>41</v>
      </c>
      <c r="P1428" s="6" t="s">
        <v>42</v>
      </c>
      <c r="Q1428" s="8" t="s">
        <v>43</v>
      </c>
      <c r="R1428" s="10" t="s">
        <v>3543</v>
      </c>
      <c r="S1428" s="11"/>
      <c r="T1428" s="6"/>
      <c r="U1428" s="28" t="str">
        <f>HYPERLINK("https://media.infra-m.ru/1877/1877289/cover/1877289.jpg", "Обложка")</f>
        <v>Обложка</v>
      </c>
      <c r="V1428" s="28" t="str">
        <f>HYPERLINK("https://znanium.com/catalog/product/1877289", "Ознакомиться")</f>
        <v>Ознакомиться</v>
      </c>
      <c r="W1428" s="8" t="s">
        <v>45</v>
      </c>
      <c r="X1428" s="6"/>
      <c r="Y1428" s="6"/>
      <c r="Z1428" s="6"/>
      <c r="AA1428" s="6" t="s">
        <v>148</v>
      </c>
    </row>
    <row r="1429" spans="1:27" s="4" customFormat="1" ht="51.95" customHeight="1">
      <c r="A1429" s="5">
        <v>0</v>
      </c>
      <c r="B1429" s="6" t="s">
        <v>7724</v>
      </c>
      <c r="C1429" s="13">
        <v>1260</v>
      </c>
      <c r="D1429" s="8" t="s">
        <v>7725</v>
      </c>
      <c r="E1429" s="8" t="s">
        <v>7726</v>
      </c>
      <c r="F1429" s="8" t="s">
        <v>7727</v>
      </c>
      <c r="G1429" s="6" t="s">
        <v>37</v>
      </c>
      <c r="H1429" s="6" t="s">
        <v>84</v>
      </c>
      <c r="I1429" s="8" t="s">
        <v>85</v>
      </c>
      <c r="J1429" s="9">
        <v>1</v>
      </c>
      <c r="K1429" s="9">
        <v>280</v>
      </c>
      <c r="L1429" s="9">
        <v>2023</v>
      </c>
      <c r="M1429" s="8" t="s">
        <v>7728</v>
      </c>
      <c r="N1429" s="8" t="s">
        <v>40</v>
      </c>
      <c r="O1429" s="8" t="s">
        <v>41</v>
      </c>
      <c r="P1429" s="6" t="s">
        <v>42</v>
      </c>
      <c r="Q1429" s="8" t="s">
        <v>43</v>
      </c>
      <c r="R1429" s="10" t="s">
        <v>3543</v>
      </c>
      <c r="S1429" s="11"/>
      <c r="T1429" s="6"/>
      <c r="U1429" s="28" t="str">
        <f>HYPERLINK("https://media.infra-m.ru/1894/1894734/cover/1894734.jpg", "Обложка")</f>
        <v>Обложка</v>
      </c>
      <c r="V1429" s="28" t="str">
        <f>HYPERLINK("https://znanium.com/catalog/product/1894734", "Ознакомиться")</f>
        <v>Ознакомиться</v>
      </c>
      <c r="W1429" s="8" t="s">
        <v>45</v>
      </c>
      <c r="X1429" s="6"/>
      <c r="Y1429" s="6"/>
      <c r="Z1429" s="6"/>
      <c r="AA1429" s="6" t="s">
        <v>148</v>
      </c>
    </row>
    <row r="1430" spans="1:27" s="4" customFormat="1" ht="44.1" customHeight="1">
      <c r="A1430" s="5">
        <v>0</v>
      </c>
      <c r="B1430" s="6" t="s">
        <v>7729</v>
      </c>
      <c r="C1430" s="13">
        <v>1350</v>
      </c>
      <c r="D1430" s="8" t="s">
        <v>7730</v>
      </c>
      <c r="E1430" s="8" t="s">
        <v>7731</v>
      </c>
      <c r="F1430" s="8" t="s">
        <v>7732</v>
      </c>
      <c r="G1430" s="6" t="s">
        <v>37</v>
      </c>
      <c r="H1430" s="6" t="s">
        <v>84</v>
      </c>
      <c r="I1430" s="8" t="s">
        <v>85</v>
      </c>
      <c r="J1430" s="9">
        <v>1</v>
      </c>
      <c r="K1430" s="9">
        <v>384</v>
      </c>
      <c r="L1430" s="9">
        <v>2020</v>
      </c>
      <c r="M1430" s="8" t="s">
        <v>7733</v>
      </c>
      <c r="N1430" s="8" t="s">
        <v>40</v>
      </c>
      <c r="O1430" s="8" t="s">
        <v>41</v>
      </c>
      <c r="P1430" s="6" t="s">
        <v>42</v>
      </c>
      <c r="Q1430" s="8" t="s">
        <v>43</v>
      </c>
      <c r="R1430" s="10" t="s">
        <v>281</v>
      </c>
      <c r="S1430" s="11"/>
      <c r="T1430" s="6"/>
      <c r="U1430" s="28" t="str">
        <f>HYPERLINK("https://media.infra-m.ru/1080/1080555/cover/1080555.jpg", "Обложка")</f>
        <v>Обложка</v>
      </c>
      <c r="V1430" s="28" t="str">
        <f>HYPERLINK("https://znanium.com/catalog/product/1080555", "Ознакомиться")</f>
        <v>Ознакомиться</v>
      </c>
      <c r="W1430" s="8" t="s">
        <v>45</v>
      </c>
      <c r="X1430" s="6"/>
      <c r="Y1430" s="6"/>
      <c r="Z1430" s="6"/>
      <c r="AA1430" s="6" t="s">
        <v>148</v>
      </c>
    </row>
    <row r="1431" spans="1:27" s="4" customFormat="1" ht="42" customHeight="1">
      <c r="A1431" s="5">
        <v>0</v>
      </c>
      <c r="B1431" s="6" t="s">
        <v>7734</v>
      </c>
      <c r="C1431" s="7">
        <v>650</v>
      </c>
      <c r="D1431" s="8" t="s">
        <v>7735</v>
      </c>
      <c r="E1431" s="8" t="s">
        <v>7736</v>
      </c>
      <c r="F1431" s="8" t="s">
        <v>1779</v>
      </c>
      <c r="G1431" s="6" t="s">
        <v>37</v>
      </c>
      <c r="H1431" s="6" t="s">
        <v>38</v>
      </c>
      <c r="I1431" s="8"/>
      <c r="J1431" s="9">
        <v>1</v>
      </c>
      <c r="K1431" s="9">
        <v>144</v>
      </c>
      <c r="L1431" s="9">
        <v>2023</v>
      </c>
      <c r="M1431" s="8" t="s">
        <v>7737</v>
      </c>
      <c r="N1431" s="8" t="s">
        <v>40</v>
      </c>
      <c r="O1431" s="8" t="s">
        <v>41</v>
      </c>
      <c r="P1431" s="6" t="s">
        <v>42</v>
      </c>
      <c r="Q1431" s="8" t="s">
        <v>43</v>
      </c>
      <c r="R1431" s="10" t="s">
        <v>304</v>
      </c>
      <c r="S1431" s="11"/>
      <c r="T1431" s="6"/>
      <c r="U1431" s="28" t="str">
        <f>HYPERLINK("https://media.infra-m.ru/1975/1975147/cover/1975147.jpg", "Обложка")</f>
        <v>Обложка</v>
      </c>
      <c r="V1431" s="28" t="str">
        <f>HYPERLINK("https://znanium.com/catalog/product/1047144", "Ознакомиться")</f>
        <v>Ознакомиться</v>
      </c>
      <c r="W1431" s="8" t="s">
        <v>1356</v>
      </c>
      <c r="X1431" s="6"/>
      <c r="Y1431" s="6"/>
      <c r="Z1431" s="6"/>
      <c r="AA1431" s="6" t="s">
        <v>148</v>
      </c>
    </row>
    <row r="1432" spans="1:27" s="4" customFormat="1" ht="42" customHeight="1">
      <c r="A1432" s="5">
        <v>0</v>
      </c>
      <c r="B1432" s="6" t="s">
        <v>7738</v>
      </c>
      <c r="C1432" s="13">
        <v>1100</v>
      </c>
      <c r="D1432" s="8" t="s">
        <v>7739</v>
      </c>
      <c r="E1432" s="8" t="s">
        <v>7740</v>
      </c>
      <c r="F1432" s="8" t="s">
        <v>7741</v>
      </c>
      <c r="G1432" s="6" t="s">
        <v>37</v>
      </c>
      <c r="H1432" s="6" t="s">
        <v>84</v>
      </c>
      <c r="I1432" s="8" t="s">
        <v>85</v>
      </c>
      <c r="J1432" s="9">
        <v>1</v>
      </c>
      <c r="K1432" s="9">
        <v>312</v>
      </c>
      <c r="L1432" s="9">
        <v>2019</v>
      </c>
      <c r="M1432" s="8" t="s">
        <v>7742</v>
      </c>
      <c r="N1432" s="8" t="s">
        <v>40</v>
      </c>
      <c r="O1432" s="8" t="s">
        <v>41</v>
      </c>
      <c r="P1432" s="6" t="s">
        <v>42</v>
      </c>
      <c r="Q1432" s="8" t="s">
        <v>43</v>
      </c>
      <c r="R1432" s="10" t="s">
        <v>340</v>
      </c>
      <c r="S1432" s="11"/>
      <c r="T1432" s="6"/>
      <c r="U1432" s="28" t="str">
        <f>HYPERLINK("https://media.infra-m.ru/1039/1039347/cover/1039347.jpg", "Обложка")</f>
        <v>Обложка</v>
      </c>
      <c r="V1432" s="28" t="str">
        <f>HYPERLINK("https://znanium.com/catalog/product/1039347", "Ознакомиться")</f>
        <v>Ознакомиться</v>
      </c>
      <c r="W1432" s="8" t="s">
        <v>45</v>
      </c>
      <c r="X1432" s="6"/>
      <c r="Y1432" s="6"/>
      <c r="Z1432" s="6"/>
      <c r="AA1432" s="6" t="s">
        <v>148</v>
      </c>
    </row>
    <row r="1433" spans="1:27" s="4" customFormat="1" ht="44.1" customHeight="1">
      <c r="A1433" s="5">
        <v>0</v>
      </c>
      <c r="B1433" s="6" t="s">
        <v>7743</v>
      </c>
      <c r="C1433" s="13">
        <v>1474.9</v>
      </c>
      <c r="D1433" s="8" t="s">
        <v>7744</v>
      </c>
      <c r="E1433" s="8" t="s">
        <v>7745</v>
      </c>
      <c r="F1433" s="8" t="s">
        <v>935</v>
      </c>
      <c r="G1433" s="6" t="s">
        <v>58</v>
      </c>
      <c r="H1433" s="6" t="s">
        <v>400</v>
      </c>
      <c r="I1433" s="8"/>
      <c r="J1433" s="9">
        <v>1</v>
      </c>
      <c r="K1433" s="9">
        <v>352</v>
      </c>
      <c r="L1433" s="9">
        <v>2022</v>
      </c>
      <c r="M1433" s="8" t="s">
        <v>7746</v>
      </c>
      <c r="N1433" s="8" t="s">
        <v>40</v>
      </c>
      <c r="O1433" s="8" t="s">
        <v>41</v>
      </c>
      <c r="P1433" s="6" t="s">
        <v>42</v>
      </c>
      <c r="Q1433" s="8" t="s">
        <v>43</v>
      </c>
      <c r="R1433" s="10" t="s">
        <v>718</v>
      </c>
      <c r="S1433" s="11"/>
      <c r="T1433" s="6"/>
      <c r="U1433" s="28" t="str">
        <f>HYPERLINK("https://media.infra-m.ru/1875/1875529/cover/1875529.jpg", "Обложка")</f>
        <v>Обложка</v>
      </c>
      <c r="V1433" s="28" t="str">
        <f>HYPERLINK("https://znanium.com/catalog/product/1832360", "Ознакомиться")</f>
        <v>Ознакомиться</v>
      </c>
      <c r="W1433" s="8" t="s">
        <v>78</v>
      </c>
      <c r="X1433" s="6"/>
      <c r="Y1433" s="6"/>
      <c r="Z1433" s="6"/>
      <c r="AA1433" s="6" t="s">
        <v>311</v>
      </c>
    </row>
    <row r="1434" spans="1:27" s="4" customFormat="1" ht="42" customHeight="1">
      <c r="A1434" s="5">
        <v>0</v>
      </c>
      <c r="B1434" s="6" t="s">
        <v>7747</v>
      </c>
      <c r="C1434" s="7">
        <v>900</v>
      </c>
      <c r="D1434" s="8" t="s">
        <v>7748</v>
      </c>
      <c r="E1434" s="8" t="s">
        <v>7749</v>
      </c>
      <c r="F1434" s="8" t="s">
        <v>7750</v>
      </c>
      <c r="G1434" s="6" t="s">
        <v>51</v>
      </c>
      <c r="H1434" s="6" t="s">
        <v>38</v>
      </c>
      <c r="I1434" s="8"/>
      <c r="J1434" s="9">
        <v>1</v>
      </c>
      <c r="K1434" s="9">
        <v>232</v>
      </c>
      <c r="L1434" s="9">
        <v>2022</v>
      </c>
      <c r="M1434" s="8" t="s">
        <v>7751</v>
      </c>
      <c r="N1434" s="8" t="s">
        <v>40</v>
      </c>
      <c r="O1434" s="8" t="s">
        <v>41</v>
      </c>
      <c r="P1434" s="6" t="s">
        <v>42</v>
      </c>
      <c r="Q1434" s="8" t="s">
        <v>43</v>
      </c>
      <c r="R1434" s="10" t="s">
        <v>69</v>
      </c>
      <c r="S1434" s="11"/>
      <c r="T1434" s="6"/>
      <c r="U1434" s="28" t="str">
        <f>HYPERLINK("https://media.infra-m.ru/1865/1865497/cover/1865497.jpg", "Обложка")</f>
        <v>Обложка</v>
      </c>
      <c r="V1434" s="28" t="str">
        <f>HYPERLINK("https://znanium.com/catalog/product/1816213", "Ознакомиться")</f>
        <v>Ознакомиться</v>
      </c>
      <c r="W1434" s="8"/>
      <c r="X1434" s="6"/>
      <c r="Y1434" s="6"/>
      <c r="Z1434" s="6"/>
      <c r="AA1434" s="6" t="s">
        <v>343</v>
      </c>
    </row>
    <row r="1435" spans="1:27" s="4" customFormat="1" ht="44.1" customHeight="1">
      <c r="A1435" s="5">
        <v>0</v>
      </c>
      <c r="B1435" s="6" t="s">
        <v>7752</v>
      </c>
      <c r="C1435" s="7">
        <v>704.9</v>
      </c>
      <c r="D1435" s="8" t="s">
        <v>7753</v>
      </c>
      <c r="E1435" s="8" t="s">
        <v>7754</v>
      </c>
      <c r="F1435" s="8" t="s">
        <v>7755</v>
      </c>
      <c r="G1435" s="6" t="s">
        <v>51</v>
      </c>
      <c r="H1435" s="6" t="s">
        <v>38</v>
      </c>
      <c r="I1435" s="8"/>
      <c r="J1435" s="9">
        <v>1</v>
      </c>
      <c r="K1435" s="9">
        <v>208</v>
      </c>
      <c r="L1435" s="9">
        <v>2019</v>
      </c>
      <c r="M1435" s="8" t="s">
        <v>7756</v>
      </c>
      <c r="N1435" s="8" t="s">
        <v>40</v>
      </c>
      <c r="O1435" s="8" t="s">
        <v>41</v>
      </c>
      <c r="P1435" s="6" t="s">
        <v>42</v>
      </c>
      <c r="Q1435" s="8" t="s">
        <v>296</v>
      </c>
      <c r="R1435" s="10" t="s">
        <v>7757</v>
      </c>
      <c r="S1435" s="11"/>
      <c r="T1435" s="6"/>
      <c r="U1435" s="28" t="str">
        <f>HYPERLINK("https://media.infra-m.ru/1010/1010062/cover/1010062.jpg", "Обложка")</f>
        <v>Обложка</v>
      </c>
      <c r="V1435" s="28" t="str">
        <f>HYPERLINK("https://znanium.com/catalog/product/1010062", "Ознакомиться")</f>
        <v>Ознакомиться</v>
      </c>
      <c r="W1435" s="8" t="s">
        <v>114</v>
      </c>
      <c r="X1435" s="6"/>
      <c r="Y1435" s="6"/>
      <c r="Z1435" s="6"/>
      <c r="AA1435" s="6" t="s">
        <v>298</v>
      </c>
    </row>
    <row r="1436" spans="1:27" s="4" customFormat="1" ht="51.95" customHeight="1">
      <c r="A1436" s="5">
        <v>0</v>
      </c>
      <c r="B1436" s="6" t="s">
        <v>7758</v>
      </c>
      <c r="C1436" s="13">
        <v>1094.9000000000001</v>
      </c>
      <c r="D1436" s="8" t="s">
        <v>7759</v>
      </c>
      <c r="E1436" s="8" t="s">
        <v>7760</v>
      </c>
      <c r="F1436" s="8" t="s">
        <v>4168</v>
      </c>
      <c r="G1436" s="6" t="s">
        <v>58</v>
      </c>
      <c r="H1436" s="6" t="s">
        <v>38</v>
      </c>
      <c r="I1436" s="8"/>
      <c r="J1436" s="9">
        <v>1</v>
      </c>
      <c r="K1436" s="9">
        <v>288</v>
      </c>
      <c r="L1436" s="9">
        <v>2018</v>
      </c>
      <c r="M1436" s="8" t="s">
        <v>7761</v>
      </c>
      <c r="N1436" s="8" t="s">
        <v>40</v>
      </c>
      <c r="O1436" s="8" t="s">
        <v>41</v>
      </c>
      <c r="P1436" s="6" t="s">
        <v>4298</v>
      </c>
      <c r="Q1436" s="8" t="s">
        <v>76</v>
      </c>
      <c r="R1436" s="10" t="s">
        <v>235</v>
      </c>
      <c r="S1436" s="11"/>
      <c r="T1436" s="6"/>
      <c r="U1436" s="28" t="str">
        <f>HYPERLINK("https://media.infra-m.ru/1815/1815907/cover/1815907.jpg", "Обложка")</f>
        <v>Обложка</v>
      </c>
      <c r="V1436" s="28" t="str">
        <f>HYPERLINK("https://znanium.com/catalog/product/1225247", "Ознакомиться")</f>
        <v>Ознакомиться</v>
      </c>
      <c r="W1436" s="8" t="s">
        <v>700</v>
      </c>
      <c r="X1436" s="6"/>
      <c r="Y1436" s="6"/>
      <c r="Z1436" s="6"/>
      <c r="AA1436" s="6" t="s">
        <v>719</v>
      </c>
    </row>
    <row r="1437" spans="1:27" s="4" customFormat="1" ht="42" customHeight="1">
      <c r="A1437" s="5">
        <v>0</v>
      </c>
      <c r="B1437" s="6" t="s">
        <v>7762</v>
      </c>
      <c r="C1437" s="7">
        <v>814</v>
      </c>
      <c r="D1437" s="8" t="s">
        <v>7763</v>
      </c>
      <c r="E1437" s="8" t="s">
        <v>7764</v>
      </c>
      <c r="F1437" s="8" t="s">
        <v>2332</v>
      </c>
      <c r="G1437" s="6" t="s">
        <v>37</v>
      </c>
      <c r="H1437" s="6" t="s">
        <v>38</v>
      </c>
      <c r="I1437" s="8"/>
      <c r="J1437" s="9">
        <v>1</v>
      </c>
      <c r="K1437" s="9">
        <v>176</v>
      </c>
      <c r="L1437" s="9">
        <v>2023</v>
      </c>
      <c r="M1437" s="8" t="s">
        <v>7765</v>
      </c>
      <c r="N1437" s="8" t="s">
        <v>40</v>
      </c>
      <c r="O1437" s="8" t="s">
        <v>41</v>
      </c>
      <c r="P1437" s="6" t="s">
        <v>42</v>
      </c>
      <c r="Q1437" s="8" t="s">
        <v>43</v>
      </c>
      <c r="R1437" s="10" t="s">
        <v>310</v>
      </c>
      <c r="S1437" s="11"/>
      <c r="T1437" s="6"/>
      <c r="U1437" s="28" t="str">
        <f>HYPERLINK("https://media.infra-m.ru/1895/1895631/cover/1895631.jpg", "Обложка")</f>
        <v>Обложка</v>
      </c>
      <c r="V1437" s="28" t="str">
        <f>HYPERLINK("https://znanium.com/catalog/product/1850617", "Ознакомиться")</f>
        <v>Ознакомиться</v>
      </c>
      <c r="W1437" s="8" t="s">
        <v>535</v>
      </c>
      <c r="X1437" s="6"/>
      <c r="Y1437" s="6"/>
      <c r="Z1437" s="6"/>
      <c r="AA1437" s="6" t="s">
        <v>46</v>
      </c>
    </row>
    <row r="1438" spans="1:27" s="15" customFormat="1" ht="21.95" customHeight="1"/>
    <row r="1439" spans="1:27" ht="15.95" customHeight="1">
      <c r="A1439" s="25" t="s">
        <v>23</v>
      </c>
      <c r="B1439" s="25"/>
    </row>
    <row r="1440" spans="1:27" s="16" customFormat="1" ht="12.95" customHeight="1"/>
    <row r="1441" spans="1:5" s="16" customFormat="1" ht="12.95" customHeight="1">
      <c r="A1441" s="26" t="s">
        <v>7766</v>
      </c>
      <c r="B1441" s="26"/>
      <c r="C1441" s="26" t="s">
        <v>7767</v>
      </c>
      <c r="D1441" s="26"/>
      <c r="E1441" s="26"/>
    </row>
    <row r="1442" spans="1:5" s="16" customFormat="1" ht="12.95" customHeight="1">
      <c r="A1442" s="26" t="s">
        <v>4125</v>
      </c>
      <c r="B1442" s="26"/>
      <c r="C1442" s="26" t="s">
        <v>7768</v>
      </c>
      <c r="D1442" s="26"/>
      <c r="E1442" s="26"/>
    </row>
    <row r="1443" spans="1:5" s="16" customFormat="1" ht="12.95" customHeight="1">
      <c r="A1443" s="26" t="s">
        <v>7769</v>
      </c>
      <c r="B1443" s="26"/>
      <c r="C1443" s="26" t="s">
        <v>7770</v>
      </c>
      <c r="D1443" s="26"/>
      <c r="E1443" s="26"/>
    </row>
    <row r="1444" spans="1:5" s="16" customFormat="1" ht="12.95" customHeight="1">
      <c r="A1444" s="26" t="s">
        <v>7771</v>
      </c>
      <c r="B1444" s="26"/>
      <c r="C1444" s="26" t="s">
        <v>7772</v>
      </c>
      <c r="D1444" s="26"/>
      <c r="E1444" s="26"/>
    </row>
    <row r="1445" spans="1:5" s="16" customFormat="1" ht="12.95" customHeight="1">
      <c r="A1445" s="26" t="s">
        <v>4792</v>
      </c>
      <c r="B1445" s="26"/>
      <c r="C1445" s="26" t="s">
        <v>7773</v>
      </c>
      <c r="D1445" s="26"/>
      <c r="E1445" s="26"/>
    </row>
    <row r="1446" spans="1:5" s="16" customFormat="1" ht="12.95" customHeight="1">
      <c r="A1446" s="26" t="s">
        <v>7774</v>
      </c>
      <c r="B1446" s="26"/>
      <c r="C1446" s="26" t="s">
        <v>7775</v>
      </c>
      <c r="D1446" s="26"/>
      <c r="E1446" s="26"/>
    </row>
    <row r="1447" spans="1:5" s="16" customFormat="1" ht="12.95" customHeight="1">
      <c r="A1447" s="26" t="s">
        <v>7776</v>
      </c>
      <c r="B1447" s="26"/>
      <c r="C1447" s="26" t="s">
        <v>7772</v>
      </c>
      <c r="D1447" s="26"/>
      <c r="E1447" s="26"/>
    </row>
    <row r="1448" spans="1:5" s="16" customFormat="1" ht="12.95" customHeight="1">
      <c r="A1448" s="26" t="s">
        <v>5621</v>
      </c>
      <c r="B1448" s="26"/>
      <c r="C1448" s="26" t="s">
        <v>7773</v>
      </c>
      <c r="D1448" s="26"/>
      <c r="E1448" s="26"/>
    </row>
    <row r="1449" spans="1:5" s="16" customFormat="1" ht="12.95" customHeight="1">
      <c r="A1449" s="26" t="s">
        <v>7777</v>
      </c>
      <c r="B1449" s="26"/>
      <c r="C1449" s="26" t="s">
        <v>7778</v>
      </c>
      <c r="D1449" s="26"/>
      <c r="E1449" s="26"/>
    </row>
    <row r="1450" spans="1:5" s="16" customFormat="1" ht="12.95" customHeight="1">
      <c r="A1450" s="26" t="s">
        <v>7779</v>
      </c>
      <c r="B1450" s="26"/>
      <c r="C1450" s="26" t="s">
        <v>7780</v>
      </c>
      <c r="D1450" s="26"/>
      <c r="E1450" s="26"/>
    </row>
    <row r="1451" spans="1:5" s="16" customFormat="1" ht="12.95" customHeight="1">
      <c r="A1451" s="26" t="s">
        <v>7781</v>
      </c>
      <c r="B1451" s="26"/>
      <c r="C1451" s="26" t="s">
        <v>7782</v>
      </c>
      <c r="D1451" s="26"/>
      <c r="E1451" s="26"/>
    </row>
    <row r="1452" spans="1:5" s="16" customFormat="1" ht="12.95" customHeight="1">
      <c r="A1452" s="26" t="s">
        <v>7783</v>
      </c>
      <c r="B1452" s="26"/>
      <c r="C1452" s="26" t="s">
        <v>7784</v>
      </c>
      <c r="D1452" s="26"/>
      <c r="E1452" s="26"/>
    </row>
    <row r="1453" spans="1:5" s="16" customFormat="1" ht="12.95" customHeight="1">
      <c r="A1453" s="26" t="s">
        <v>7785</v>
      </c>
      <c r="B1453" s="26"/>
      <c r="C1453" s="26" t="s">
        <v>7786</v>
      </c>
      <c r="D1453" s="26"/>
      <c r="E1453" s="26"/>
    </row>
    <row r="1454" spans="1:5" s="16" customFormat="1" ht="12.95" customHeight="1">
      <c r="A1454" s="26" t="s">
        <v>7787</v>
      </c>
      <c r="B1454" s="26"/>
      <c r="C1454" s="26" t="s">
        <v>7788</v>
      </c>
      <c r="D1454" s="26"/>
      <c r="E1454" s="26"/>
    </row>
    <row r="1455" spans="1:5" s="16" customFormat="1" ht="12.95" customHeight="1">
      <c r="A1455" s="26" t="s">
        <v>7789</v>
      </c>
      <c r="B1455" s="26"/>
      <c r="C1455" s="26" t="s">
        <v>7788</v>
      </c>
      <c r="D1455" s="26"/>
      <c r="E1455" s="26"/>
    </row>
    <row r="1456" spans="1:5" s="16" customFormat="1" ht="12.95" customHeight="1">
      <c r="A1456" s="26" t="s">
        <v>7790</v>
      </c>
      <c r="B1456" s="26"/>
      <c r="C1456" s="26" t="s">
        <v>7791</v>
      </c>
      <c r="D1456" s="26"/>
      <c r="E1456" s="26"/>
    </row>
    <row r="1457" spans="1:5" s="16" customFormat="1" ht="12.95" customHeight="1">
      <c r="A1457" s="26" t="s">
        <v>7792</v>
      </c>
      <c r="B1457" s="26"/>
      <c r="C1457" s="26" t="s">
        <v>7793</v>
      </c>
      <c r="D1457" s="26"/>
      <c r="E1457" s="26"/>
    </row>
    <row r="1458" spans="1:5" s="16" customFormat="1" ht="12.95" customHeight="1">
      <c r="A1458" s="26" t="s">
        <v>7794</v>
      </c>
      <c r="B1458" s="26"/>
      <c r="C1458" s="26" t="s">
        <v>7795</v>
      </c>
      <c r="D1458" s="26"/>
      <c r="E1458" s="26"/>
    </row>
    <row r="1459" spans="1:5" s="16" customFormat="1" ht="12.95" customHeight="1">
      <c r="A1459" s="26" t="s">
        <v>7796</v>
      </c>
      <c r="B1459" s="26"/>
      <c r="C1459" s="26" t="s">
        <v>7797</v>
      </c>
      <c r="D1459" s="26"/>
      <c r="E1459" s="26"/>
    </row>
    <row r="1460" spans="1:5" s="16" customFormat="1" ht="12.95" customHeight="1">
      <c r="A1460" s="26" t="s">
        <v>7798</v>
      </c>
      <c r="B1460" s="26"/>
      <c r="C1460" s="26" t="s">
        <v>7799</v>
      </c>
      <c r="D1460" s="26"/>
      <c r="E1460" s="26"/>
    </row>
    <row r="1461" spans="1:5" s="16" customFormat="1" ht="12.95" customHeight="1">
      <c r="A1461" s="26" t="s">
        <v>7800</v>
      </c>
      <c r="B1461" s="26"/>
      <c r="C1461" s="26" t="s">
        <v>7801</v>
      </c>
      <c r="D1461" s="26"/>
      <c r="E1461" s="26"/>
    </row>
    <row r="1462" spans="1:5" s="16" customFormat="1" ht="12.95" customHeight="1">
      <c r="A1462" s="26" t="s">
        <v>7802</v>
      </c>
      <c r="B1462" s="26"/>
      <c r="C1462" s="26" t="s">
        <v>7803</v>
      </c>
      <c r="D1462" s="26"/>
      <c r="E1462" s="26"/>
    </row>
    <row r="1463" spans="1:5" s="16" customFormat="1" ht="12.95" customHeight="1">
      <c r="A1463" s="26" t="s">
        <v>7804</v>
      </c>
      <c r="B1463" s="26"/>
      <c r="C1463" s="26" t="s">
        <v>7803</v>
      </c>
      <c r="D1463" s="26"/>
      <c r="E1463" s="26"/>
    </row>
    <row r="1464" spans="1:5" s="16" customFormat="1" ht="12.95" customHeight="1">
      <c r="A1464" s="26" t="s">
        <v>7805</v>
      </c>
      <c r="B1464" s="26"/>
      <c r="C1464" s="26" t="s">
        <v>7806</v>
      </c>
      <c r="D1464" s="26"/>
      <c r="E1464" s="26"/>
    </row>
    <row r="1465" spans="1:5" s="16" customFormat="1" ht="12.95" customHeight="1">
      <c r="A1465" s="26" t="s">
        <v>7807</v>
      </c>
      <c r="B1465" s="26"/>
      <c r="C1465" s="26" t="s">
        <v>7808</v>
      </c>
      <c r="D1465" s="26"/>
      <c r="E1465" s="26"/>
    </row>
    <row r="1466" spans="1:5" s="16" customFormat="1" ht="12.95" customHeight="1">
      <c r="A1466" s="26" t="s">
        <v>7809</v>
      </c>
      <c r="B1466" s="26"/>
      <c r="C1466" s="26" t="s">
        <v>7810</v>
      </c>
      <c r="D1466" s="26"/>
      <c r="E1466" s="26"/>
    </row>
    <row r="1467" spans="1:5" s="16" customFormat="1" ht="12.95" customHeight="1">
      <c r="A1467" s="26" t="s">
        <v>7811</v>
      </c>
      <c r="B1467" s="26"/>
      <c r="C1467" s="26" t="s">
        <v>7812</v>
      </c>
      <c r="D1467" s="26"/>
      <c r="E1467" s="26"/>
    </row>
    <row r="1468" spans="1:5" s="16" customFormat="1" ht="12.95" customHeight="1">
      <c r="A1468" s="26" t="s">
        <v>7813</v>
      </c>
      <c r="B1468" s="26"/>
      <c r="C1468" s="26" t="s">
        <v>7814</v>
      </c>
      <c r="D1468" s="26"/>
      <c r="E1468" s="26"/>
    </row>
    <row r="1469" spans="1:5" s="16" customFormat="1" ht="12.95" customHeight="1">
      <c r="A1469" s="26" t="s">
        <v>7815</v>
      </c>
      <c r="B1469" s="26"/>
      <c r="C1469" s="26" t="s">
        <v>7816</v>
      </c>
      <c r="D1469" s="26"/>
      <c r="E1469" s="26"/>
    </row>
    <row r="1470" spans="1:5" s="16" customFormat="1" ht="12.95" customHeight="1">
      <c r="A1470" s="26" t="s">
        <v>7817</v>
      </c>
      <c r="B1470" s="26"/>
      <c r="C1470" s="26" t="s">
        <v>7818</v>
      </c>
      <c r="D1470" s="26"/>
      <c r="E1470" s="26"/>
    </row>
    <row r="1471" spans="1:5" s="16" customFormat="1" ht="12.95" customHeight="1">
      <c r="A1471" s="26" t="s">
        <v>7819</v>
      </c>
      <c r="B1471" s="26"/>
      <c r="C1471" s="26" t="s">
        <v>7820</v>
      </c>
      <c r="D1471" s="26"/>
      <c r="E1471" s="26"/>
    </row>
    <row r="1472" spans="1:5" s="16" customFormat="1" ht="12.95" customHeight="1">
      <c r="A1472" s="26" t="s">
        <v>7821</v>
      </c>
      <c r="B1472" s="26"/>
      <c r="C1472" s="26" t="s">
        <v>7822</v>
      </c>
      <c r="D1472" s="26"/>
      <c r="E1472" s="26"/>
    </row>
    <row r="1473" spans="1:5" s="16" customFormat="1" ht="12.95" customHeight="1">
      <c r="A1473" s="26" t="s">
        <v>7823</v>
      </c>
      <c r="B1473" s="26"/>
      <c r="C1473" s="26" t="s">
        <v>7824</v>
      </c>
      <c r="D1473" s="26"/>
      <c r="E1473" s="26"/>
    </row>
    <row r="1474" spans="1:5" s="16" customFormat="1" ht="12.95" customHeight="1">
      <c r="A1474" s="26" t="s">
        <v>7825</v>
      </c>
      <c r="B1474" s="26"/>
      <c r="C1474" s="26" t="s">
        <v>7826</v>
      </c>
      <c r="D1474" s="26"/>
      <c r="E1474" s="26"/>
    </row>
    <row r="1475" spans="1:5" s="16" customFormat="1" ht="12.95" customHeight="1">
      <c r="A1475" s="26" t="s">
        <v>7827</v>
      </c>
      <c r="B1475" s="26"/>
      <c r="C1475" s="26" t="s">
        <v>7828</v>
      </c>
      <c r="D1475" s="26"/>
      <c r="E1475" s="26"/>
    </row>
    <row r="1476" spans="1:5" s="16" customFormat="1" ht="12.95" customHeight="1">
      <c r="A1476" s="26" t="s">
        <v>7829</v>
      </c>
      <c r="B1476" s="26"/>
      <c r="C1476" s="26" t="s">
        <v>7830</v>
      </c>
      <c r="D1476" s="26"/>
      <c r="E1476" s="26"/>
    </row>
    <row r="1477" spans="1:5" s="16" customFormat="1" ht="12.95" customHeight="1">
      <c r="A1477" s="26" t="s">
        <v>7831</v>
      </c>
      <c r="B1477" s="26"/>
      <c r="C1477" s="26" t="s">
        <v>7832</v>
      </c>
      <c r="D1477" s="26"/>
      <c r="E1477" s="26"/>
    </row>
    <row r="1478" spans="1:5" s="16" customFormat="1" ht="12.95" customHeight="1">
      <c r="A1478" s="26" t="s">
        <v>7833</v>
      </c>
      <c r="B1478" s="26"/>
      <c r="C1478" s="26" t="s">
        <v>7834</v>
      </c>
      <c r="D1478" s="26"/>
      <c r="E1478" s="26"/>
    </row>
    <row r="1479" spans="1:5" s="16" customFormat="1" ht="12.95" customHeight="1">
      <c r="A1479" s="26" t="s">
        <v>7835</v>
      </c>
      <c r="B1479" s="26"/>
      <c r="C1479" s="26" t="s">
        <v>7836</v>
      </c>
      <c r="D1479" s="26"/>
      <c r="E1479" s="26"/>
    </row>
    <row r="1480" spans="1:5" s="16" customFormat="1" ht="12.95" customHeight="1">
      <c r="A1480" s="26" t="s">
        <v>7837</v>
      </c>
      <c r="B1480" s="26"/>
      <c r="C1480" s="26" t="s">
        <v>7838</v>
      </c>
      <c r="D1480" s="26"/>
      <c r="E1480" s="26"/>
    </row>
    <row r="1481" spans="1:5" s="16" customFormat="1" ht="12.95" customHeight="1">
      <c r="A1481" s="26" t="s">
        <v>7839</v>
      </c>
      <c r="B1481" s="26"/>
      <c r="C1481" s="26" t="s">
        <v>7840</v>
      </c>
      <c r="D1481" s="26"/>
      <c r="E1481" s="26"/>
    </row>
    <row r="1482" spans="1:5" s="16" customFormat="1" ht="12.95" customHeight="1">
      <c r="A1482" s="26" t="s">
        <v>7841</v>
      </c>
      <c r="B1482" s="26"/>
      <c r="C1482" s="26" t="s">
        <v>7842</v>
      </c>
      <c r="D1482" s="26"/>
      <c r="E1482" s="26"/>
    </row>
    <row r="1483" spans="1:5" s="16" customFormat="1" ht="12.95" customHeight="1">
      <c r="A1483" s="26" t="s">
        <v>7843</v>
      </c>
      <c r="B1483" s="26"/>
      <c r="C1483" s="26" t="s">
        <v>7844</v>
      </c>
      <c r="D1483" s="26"/>
      <c r="E1483" s="26"/>
    </row>
    <row r="1484" spans="1:5" s="16" customFormat="1" ht="12.95" customHeight="1">
      <c r="A1484" s="26" t="s">
        <v>7845</v>
      </c>
      <c r="B1484" s="26"/>
      <c r="C1484" s="26" t="s">
        <v>7846</v>
      </c>
      <c r="D1484" s="26"/>
      <c r="E1484" s="26"/>
    </row>
    <row r="1485" spans="1:5" s="16" customFormat="1" ht="12.95" customHeight="1">
      <c r="A1485" s="26" t="s">
        <v>7847</v>
      </c>
      <c r="B1485" s="26"/>
      <c r="C1485" s="26" t="s">
        <v>7844</v>
      </c>
      <c r="D1485" s="26"/>
      <c r="E1485" s="26"/>
    </row>
    <row r="1486" spans="1:5" s="16" customFormat="1" ht="12.95" customHeight="1">
      <c r="A1486" s="26" t="s">
        <v>7848</v>
      </c>
      <c r="B1486" s="26"/>
      <c r="C1486" s="26" t="s">
        <v>7846</v>
      </c>
      <c r="D1486" s="26"/>
      <c r="E1486" s="26"/>
    </row>
    <row r="1487" spans="1:5" s="16" customFormat="1" ht="12.95" customHeight="1">
      <c r="A1487" s="26" t="s">
        <v>7849</v>
      </c>
      <c r="B1487" s="26"/>
      <c r="C1487" s="26" t="s">
        <v>7850</v>
      </c>
      <c r="D1487" s="26"/>
      <c r="E1487" s="26"/>
    </row>
    <row r="1488" spans="1:5" s="16" customFormat="1" ht="12.95" customHeight="1">
      <c r="A1488" s="26" t="s">
        <v>7851</v>
      </c>
      <c r="B1488" s="26"/>
      <c r="C1488" s="26" t="s">
        <v>7852</v>
      </c>
      <c r="D1488" s="26"/>
      <c r="E1488" s="26"/>
    </row>
    <row r="1489" spans="1:5" s="16" customFormat="1" ht="12.95" customHeight="1">
      <c r="A1489" s="26" t="s">
        <v>7853</v>
      </c>
      <c r="B1489" s="26"/>
      <c r="C1489" s="26" t="s">
        <v>7854</v>
      </c>
      <c r="D1489" s="26"/>
      <c r="E1489" s="26"/>
    </row>
    <row r="1490" spans="1:5" s="16" customFormat="1" ht="12.95" customHeight="1">
      <c r="A1490" s="26" t="s">
        <v>7855</v>
      </c>
      <c r="B1490" s="26"/>
      <c r="C1490" s="26" t="s">
        <v>7856</v>
      </c>
      <c r="D1490" s="26"/>
      <c r="E1490" s="26"/>
    </row>
    <row r="1491" spans="1:5" s="16" customFormat="1" ht="12.95" customHeight="1">
      <c r="A1491" s="26" t="s">
        <v>7857</v>
      </c>
      <c r="B1491" s="26"/>
      <c r="C1491" s="26" t="s">
        <v>7858</v>
      </c>
      <c r="D1491" s="26"/>
      <c r="E1491" s="26"/>
    </row>
    <row r="1492" spans="1:5" s="16" customFormat="1" ht="12.95" customHeight="1">
      <c r="A1492" s="26" t="s">
        <v>7859</v>
      </c>
      <c r="B1492" s="26"/>
      <c r="C1492" s="26" t="s">
        <v>7860</v>
      </c>
      <c r="D1492" s="26"/>
      <c r="E1492" s="26"/>
    </row>
    <row r="1493" spans="1:5" s="16" customFormat="1" ht="12.95" customHeight="1">
      <c r="A1493" s="26" t="s">
        <v>7861</v>
      </c>
      <c r="B1493" s="26"/>
      <c r="C1493" s="26" t="s">
        <v>7862</v>
      </c>
      <c r="D1493" s="26"/>
      <c r="E1493" s="26"/>
    </row>
    <row r="1494" spans="1:5" s="16" customFormat="1" ht="12.95" customHeight="1">
      <c r="A1494" s="26" t="s">
        <v>7863</v>
      </c>
      <c r="B1494" s="26"/>
      <c r="C1494" s="26" t="s">
        <v>7864</v>
      </c>
      <c r="D1494" s="26"/>
      <c r="E1494" s="26"/>
    </row>
    <row r="1495" spans="1:5" s="16" customFormat="1" ht="12.95" customHeight="1">
      <c r="A1495" s="26" t="s">
        <v>7865</v>
      </c>
      <c r="B1495" s="26"/>
      <c r="C1495" s="26" t="s">
        <v>7866</v>
      </c>
      <c r="D1495" s="26"/>
      <c r="E1495" s="26"/>
    </row>
    <row r="1496" spans="1:5" s="16" customFormat="1" ht="12.95" customHeight="1">
      <c r="A1496" s="26" t="s">
        <v>7867</v>
      </c>
      <c r="B1496" s="26"/>
      <c r="C1496" s="26" t="s">
        <v>7868</v>
      </c>
      <c r="D1496" s="26"/>
      <c r="E1496" s="26"/>
    </row>
    <row r="1497" spans="1:5" s="16" customFormat="1" ht="12.95" customHeight="1">
      <c r="A1497" s="26" t="s">
        <v>7869</v>
      </c>
      <c r="B1497" s="26"/>
      <c r="C1497" s="26" t="s">
        <v>7870</v>
      </c>
      <c r="D1497" s="26"/>
      <c r="E1497" s="26"/>
    </row>
    <row r="1498" spans="1:5" s="16" customFormat="1" ht="12.95" customHeight="1">
      <c r="A1498" s="26" t="s">
        <v>7871</v>
      </c>
      <c r="B1498" s="26"/>
      <c r="C1498" s="26" t="s">
        <v>7872</v>
      </c>
      <c r="D1498" s="26"/>
      <c r="E1498" s="26"/>
    </row>
    <row r="1499" spans="1:5" s="16" customFormat="1" ht="12.95" customHeight="1">
      <c r="A1499" s="26" t="s">
        <v>7873</v>
      </c>
      <c r="B1499" s="26"/>
      <c r="C1499" s="26" t="s">
        <v>7874</v>
      </c>
      <c r="D1499" s="26"/>
      <c r="E1499" s="26"/>
    </row>
    <row r="1500" spans="1:5" s="16" customFormat="1" ht="12.95" customHeight="1">
      <c r="A1500" s="26" t="s">
        <v>7875</v>
      </c>
      <c r="B1500" s="26"/>
      <c r="C1500" s="26" t="s">
        <v>7864</v>
      </c>
      <c r="D1500" s="26"/>
      <c r="E1500" s="26"/>
    </row>
    <row r="1501" spans="1:5" s="16" customFormat="1" ht="12.95" customHeight="1">
      <c r="A1501" s="26" t="s">
        <v>7876</v>
      </c>
      <c r="B1501" s="26"/>
      <c r="C1501" s="26" t="s">
        <v>7870</v>
      </c>
      <c r="D1501" s="26"/>
      <c r="E1501" s="26"/>
    </row>
    <row r="1502" spans="1:5" s="16" customFormat="1" ht="12.95" customHeight="1">
      <c r="A1502" s="26" t="s">
        <v>7877</v>
      </c>
      <c r="B1502" s="26"/>
      <c r="C1502" s="26" t="s">
        <v>7878</v>
      </c>
      <c r="D1502" s="26"/>
      <c r="E1502" s="26"/>
    </row>
    <row r="1503" spans="1:5" s="16" customFormat="1" ht="12.95" customHeight="1">
      <c r="A1503" s="26" t="s">
        <v>7879</v>
      </c>
      <c r="B1503" s="26"/>
      <c r="C1503" s="26" t="s">
        <v>7880</v>
      </c>
      <c r="D1503" s="26"/>
      <c r="E1503" s="26"/>
    </row>
    <row r="1504" spans="1:5" s="16" customFormat="1" ht="12.95" customHeight="1">
      <c r="A1504" s="26" t="s">
        <v>7881</v>
      </c>
      <c r="B1504" s="26"/>
      <c r="C1504" s="26" t="s">
        <v>7882</v>
      </c>
      <c r="D1504" s="26"/>
      <c r="E1504" s="26"/>
    </row>
    <row r="1505" spans="1:5" s="16" customFormat="1" ht="12.95" customHeight="1">
      <c r="A1505" s="26" t="s">
        <v>7883</v>
      </c>
      <c r="B1505" s="26"/>
      <c r="C1505" s="26" t="s">
        <v>7884</v>
      </c>
      <c r="D1505" s="26"/>
      <c r="E1505" s="26"/>
    </row>
    <row r="1506" spans="1:5" s="16" customFormat="1" ht="12.95" customHeight="1">
      <c r="A1506" s="26" t="s">
        <v>7885</v>
      </c>
      <c r="B1506" s="26"/>
      <c r="C1506" s="26" t="s">
        <v>7886</v>
      </c>
      <c r="D1506" s="26"/>
      <c r="E1506" s="26"/>
    </row>
    <row r="1507" spans="1:5" s="16" customFormat="1" ht="12.95" customHeight="1">
      <c r="A1507" s="26" t="s">
        <v>7887</v>
      </c>
      <c r="B1507" s="26"/>
      <c r="C1507" s="26" t="s">
        <v>7888</v>
      </c>
      <c r="D1507" s="26"/>
      <c r="E1507" s="26"/>
    </row>
    <row r="1508" spans="1:5" s="16" customFormat="1" ht="12.95" customHeight="1">
      <c r="A1508" s="26" t="s">
        <v>7889</v>
      </c>
      <c r="B1508" s="26"/>
      <c r="C1508" s="26" t="s">
        <v>7890</v>
      </c>
      <c r="D1508" s="26"/>
      <c r="E1508" s="26"/>
    </row>
    <row r="1509" spans="1:5" s="16" customFormat="1" ht="12.95" customHeight="1">
      <c r="A1509" s="26" t="s">
        <v>7891</v>
      </c>
      <c r="B1509" s="26"/>
      <c r="C1509" s="26" t="s">
        <v>7892</v>
      </c>
      <c r="D1509" s="26"/>
      <c r="E1509" s="26"/>
    </row>
    <row r="1510" spans="1:5" s="16" customFormat="1" ht="12.95" customHeight="1">
      <c r="A1510" s="26" t="s">
        <v>7893</v>
      </c>
      <c r="B1510" s="26"/>
      <c r="C1510" s="26" t="s">
        <v>7890</v>
      </c>
      <c r="D1510" s="26"/>
      <c r="E1510" s="26"/>
    </row>
    <row r="1511" spans="1:5" s="16" customFormat="1" ht="12.95" customHeight="1">
      <c r="A1511" s="26" t="s">
        <v>7894</v>
      </c>
      <c r="B1511" s="26"/>
      <c r="C1511" s="26" t="s">
        <v>7892</v>
      </c>
      <c r="D1511" s="26"/>
      <c r="E1511" s="26"/>
    </row>
    <row r="1512" spans="1:5" s="16" customFormat="1" ht="12.95" customHeight="1">
      <c r="A1512" s="26" t="s">
        <v>7895</v>
      </c>
      <c r="B1512" s="26"/>
      <c r="C1512" s="26" t="s">
        <v>7896</v>
      </c>
      <c r="D1512" s="26"/>
      <c r="E1512" s="26"/>
    </row>
    <row r="1513" spans="1:5" s="16" customFormat="1" ht="12.95" customHeight="1">
      <c r="A1513" s="26" t="s">
        <v>7897</v>
      </c>
      <c r="B1513" s="26"/>
      <c r="C1513" s="26" t="s">
        <v>7898</v>
      </c>
      <c r="D1513" s="26"/>
      <c r="E1513" s="26"/>
    </row>
    <row r="1514" spans="1:5" s="16" customFormat="1" ht="12.95" customHeight="1">
      <c r="A1514" s="26" t="s">
        <v>5053</v>
      </c>
      <c r="B1514" s="26"/>
      <c r="C1514" s="26" t="s">
        <v>7899</v>
      </c>
      <c r="D1514" s="26"/>
      <c r="E1514" s="26"/>
    </row>
    <row r="1515" spans="1:5" s="16" customFormat="1" ht="12.95" customHeight="1">
      <c r="A1515" s="26" t="s">
        <v>7900</v>
      </c>
      <c r="B1515" s="26"/>
      <c r="C1515" s="26" t="s">
        <v>7901</v>
      </c>
      <c r="D1515" s="26"/>
      <c r="E1515" s="26"/>
    </row>
    <row r="1516" spans="1:5" s="16" customFormat="1" ht="12.95" customHeight="1">
      <c r="A1516" s="26" t="s">
        <v>7902</v>
      </c>
      <c r="B1516" s="26"/>
      <c r="C1516" s="26" t="s">
        <v>7903</v>
      </c>
      <c r="D1516" s="26"/>
      <c r="E1516" s="26"/>
    </row>
    <row r="1517" spans="1:5" s="16" customFormat="1" ht="12.95" customHeight="1">
      <c r="A1517" s="26" t="s">
        <v>7904</v>
      </c>
      <c r="B1517" s="26"/>
      <c r="C1517" s="26" t="s">
        <v>7905</v>
      </c>
      <c r="D1517" s="26"/>
      <c r="E1517" s="26"/>
    </row>
    <row r="1518" spans="1:5" s="16" customFormat="1" ht="12.95" customHeight="1">
      <c r="A1518" s="26" t="s">
        <v>7906</v>
      </c>
      <c r="B1518" s="26"/>
      <c r="C1518" s="26" t="s">
        <v>7907</v>
      </c>
      <c r="D1518" s="26"/>
      <c r="E1518" s="26"/>
    </row>
    <row r="1519" spans="1:5" s="16" customFormat="1" ht="12.95" customHeight="1">
      <c r="A1519" s="26" t="s">
        <v>7908</v>
      </c>
      <c r="B1519" s="26"/>
      <c r="C1519" s="26" t="s">
        <v>7909</v>
      </c>
      <c r="D1519" s="26"/>
      <c r="E1519" s="26"/>
    </row>
    <row r="1520" spans="1:5" s="16" customFormat="1" ht="12.95" customHeight="1">
      <c r="A1520" s="26" t="s">
        <v>7910</v>
      </c>
      <c r="B1520" s="26"/>
      <c r="C1520" s="26" t="s">
        <v>7911</v>
      </c>
      <c r="D1520" s="26"/>
      <c r="E1520" s="26"/>
    </row>
    <row r="1521" spans="1:5" s="16" customFormat="1" ht="12.95" customHeight="1">
      <c r="A1521" s="26" t="s">
        <v>4829</v>
      </c>
      <c r="B1521" s="26"/>
      <c r="C1521" s="26" t="s">
        <v>7912</v>
      </c>
      <c r="D1521" s="26"/>
      <c r="E1521" s="26"/>
    </row>
    <row r="1522" spans="1:5" s="16" customFormat="1" ht="12.95" customHeight="1">
      <c r="A1522" s="26" t="s">
        <v>7913</v>
      </c>
      <c r="B1522" s="26"/>
      <c r="C1522" s="26" t="s">
        <v>7912</v>
      </c>
      <c r="D1522" s="26"/>
      <c r="E1522" s="26"/>
    </row>
    <row r="1523" spans="1:5" s="16" customFormat="1" ht="12.95" customHeight="1">
      <c r="A1523" s="26" t="s">
        <v>7914</v>
      </c>
      <c r="B1523" s="26"/>
      <c r="C1523" s="26" t="s">
        <v>7915</v>
      </c>
      <c r="D1523" s="26"/>
      <c r="E1523" s="26"/>
    </row>
    <row r="1524" spans="1:5" s="16" customFormat="1" ht="12.95" customHeight="1">
      <c r="A1524" s="26" t="s">
        <v>7916</v>
      </c>
      <c r="B1524" s="26"/>
      <c r="C1524" s="26" t="s">
        <v>7917</v>
      </c>
      <c r="D1524" s="26"/>
      <c r="E1524" s="26"/>
    </row>
    <row r="1525" spans="1:5" s="16" customFormat="1" ht="12.95" customHeight="1">
      <c r="A1525" s="26" t="s">
        <v>7918</v>
      </c>
      <c r="B1525" s="26"/>
      <c r="C1525" s="26" t="s">
        <v>7919</v>
      </c>
      <c r="D1525" s="26"/>
      <c r="E1525" s="26"/>
    </row>
    <row r="1526" spans="1:5" s="16" customFormat="1" ht="12.95" customHeight="1">
      <c r="A1526" s="26" t="s">
        <v>7920</v>
      </c>
      <c r="B1526" s="26"/>
      <c r="C1526" s="26" t="s">
        <v>7921</v>
      </c>
      <c r="D1526" s="26"/>
      <c r="E1526" s="26"/>
    </row>
    <row r="1527" spans="1:5" s="16" customFormat="1" ht="12.95" customHeight="1">
      <c r="A1527" s="26" t="s">
        <v>7922</v>
      </c>
      <c r="B1527" s="26"/>
      <c r="C1527" s="26" t="s">
        <v>7923</v>
      </c>
      <c r="D1527" s="26"/>
      <c r="E1527" s="26"/>
    </row>
    <row r="1528" spans="1:5" s="16" customFormat="1" ht="12.95" customHeight="1">
      <c r="A1528" s="26" t="s">
        <v>7924</v>
      </c>
      <c r="B1528" s="26"/>
      <c r="C1528" s="26" t="s">
        <v>7925</v>
      </c>
      <c r="D1528" s="26"/>
      <c r="E1528" s="26"/>
    </row>
    <row r="1529" spans="1:5" s="16" customFormat="1" ht="12.95" customHeight="1">
      <c r="A1529" s="26" t="s">
        <v>7926</v>
      </c>
      <c r="B1529" s="26"/>
      <c r="C1529" s="26" t="s">
        <v>7927</v>
      </c>
      <c r="D1529" s="26"/>
      <c r="E1529" s="26"/>
    </row>
    <row r="1530" spans="1:5" s="16" customFormat="1" ht="12.95" customHeight="1">
      <c r="A1530" s="26" t="s">
        <v>7928</v>
      </c>
      <c r="B1530" s="26"/>
      <c r="C1530" s="26" t="s">
        <v>7929</v>
      </c>
      <c r="D1530" s="26"/>
      <c r="E1530" s="26"/>
    </row>
    <row r="1531" spans="1:5" s="16" customFormat="1" ht="12.95" customHeight="1">
      <c r="A1531" s="26" t="s">
        <v>7930</v>
      </c>
      <c r="B1531" s="26"/>
      <c r="C1531" s="26" t="s">
        <v>7931</v>
      </c>
      <c r="D1531" s="26"/>
      <c r="E1531" s="26"/>
    </row>
    <row r="1532" spans="1:5" s="16" customFormat="1" ht="12.95" customHeight="1">
      <c r="A1532" s="26" t="s">
        <v>7932</v>
      </c>
      <c r="B1532" s="26"/>
      <c r="C1532" s="26" t="s">
        <v>7933</v>
      </c>
      <c r="D1532" s="26"/>
      <c r="E1532" s="26"/>
    </row>
    <row r="1533" spans="1:5" s="16" customFormat="1" ht="12.95" customHeight="1">
      <c r="A1533" s="26" t="s">
        <v>7934</v>
      </c>
      <c r="B1533" s="26"/>
      <c r="C1533" s="26" t="s">
        <v>7931</v>
      </c>
      <c r="D1533" s="26"/>
      <c r="E1533" s="26"/>
    </row>
    <row r="1534" spans="1:5" s="16" customFormat="1" ht="12.95" customHeight="1">
      <c r="A1534" s="26" t="s">
        <v>7935</v>
      </c>
      <c r="B1534" s="26"/>
      <c r="C1534" s="26" t="s">
        <v>7933</v>
      </c>
      <c r="D1534" s="26"/>
      <c r="E1534" s="26"/>
    </row>
    <row r="1535" spans="1:5" s="16" customFormat="1" ht="12.95" customHeight="1">
      <c r="A1535" s="26" t="s">
        <v>7936</v>
      </c>
      <c r="B1535" s="26"/>
      <c r="C1535" s="26" t="s">
        <v>7937</v>
      </c>
      <c r="D1535" s="26"/>
      <c r="E1535" s="26"/>
    </row>
    <row r="1536" spans="1:5" s="16" customFormat="1" ht="12.95" customHeight="1">
      <c r="A1536" s="26" t="s">
        <v>7938</v>
      </c>
      <c r="B1536" s="26"/>
      <c r="C1536" s="26" t="s">
        <v>7939</v>
      </c>
      <c r="D1536" s="26"/>
      <c r="E1536" s="26"/>
    </row>
    <row r="1537" spans="1:5" s="16" customFormat="1" ht="12.95" customHeight="1">
      <c r="A1537" s="26" t="s">
        <v>7940</v>
      </c>
      <c r="B1537" s="26"/>
      <c r="C1537" s="26" t="s">
        <v>7941</v>
      </c>
      <c r="D1537" s="26"/>
      <c r="E1537" s="26"/>
    </row>
    <row r="1538" spans="1:5" s="16" customFormat="1" ht="12.95" customHeight="1">
      <c r="A1538" s="26" t="s">
        <v>7942</v>
      </c>
      <c r="B1538" s="26"/>
      <c r="C1538" s="26" t="s">
        <v>7943</v>
      </c>
      <c r="D1538" s="26"/>
      <c r="E1538" s="26"/>
    </row>
    <row r="1539" spans="1:5" s="16" customFormat="1" ht="12.95" customHeight="1">
      <c r="A1539" s="26" t="s">
        <v>7944</v>
      </c>
      <c r="B1539" s="26"/>
      <c r="C1539" s="26" t="s">
        <v>7945</v>
      </c>
      <c r="D1539" s="26"/>
      <c r="E1539" s="26"/>
    </row>
    <row r="1540" spans="1:5" s="16" customFormat="1" ht="12.95" customHeight="1">
      <c r="A1540" s="26" t="s">
        <v>7946</v>
      </c>
      <c r="B1540" s="26"/>
      <c r="C1540" s="26" t="s">
        <v>7947</v>
      </c>
      <c r="D1540" s="26"/>
      <c r="E1540" s="26"/>
    </row>
    <row r="1541" spans="1:5" s="16" customFormat="1" ht="12.95" customHeight="1">
      <c r="A1541" s="26" t="s">
        <v>7948</v>
      </c>
      <c r="B1541" s="26"/>
      <c r="C1541" s="26" t="s">
        <v>7949</v>
      </c>
      <c r="D1541" s="26"/>
      <c r="E1541" s="26"/>
    </row>
    <row r="1542" spans="1:5" s="16" customFormat="1" ht="12.95" customHeight="1">
      <c r="A1542" s="26" t="s">
        <v>7950</v>
      </c>
      <c r="B1542" s="26"/>
      <c r="C1542" s="26" t="s">
        <v>7951</v>
      </c>
      <c r="D1542" s="26"/>
      <c r="E1542" s="26"/>
    </row>
    <row r="1543" spans="1:5" s="16" customFormat="1" ht="12.95" customHeight="1">
      <c r="A1543" s="26" t="s">
        <v>7952</v>
      </c>
      <c r="B1543" s="26"/>
      <c r="C1543" s="26" t="s">
        <v>7953</v>
      </c>
      <c r="D1543" s="26"/>
      <c r="E1543" s="26"/>
    </row>
    <row r="1544" spans="1:5" s="16" customFormat="1" ht="12.95" customHeight="1">
      <c r="A1544" s="26" t="s">
        <v>7954</v>
      </c>
      <c r="B1544" s="26"/>
      <c r="C1544" s="26" t="s">
        <v>7955</v>
      </c>
      <c r="D1544" s="26"/>
      <c r="E1544" s="26"/>
    </row>
    <row r="1545" spans="1:5" s="16" customFormat="1" ht="12.95" customHeight="1">
      <c r="A1545" s="26" t="s">
        <v>7956</v>
      </c>
      <c r="B1545" s="26"/>
      <c r="C1545" s="26" t="s">
        <v>7957</v>
      </c>
      <c r="D1545" s="26"/>
      <c r="E1545" s="26"/>
    </row>
    <row r="1546" spans="1:5" s="16" customFormat="1" ht="12.95" customHeight="1">
      <c r="A1546" s="26" t="s">
        <v>7958</v>
      </c>
      <c r="B1546" s="26"/>
      <c r="C1546" s="26" t="s">
        <v>7959</v>
      </c>
      <c r="D1546" s="26"/>
      <c r="E1546" s="26"/>
    </row>
    <row r="1547" spans="1:5" s="16" customFormat="1" ht="12.95" customHeight="1">
      <c r="A1547" s="26" t="s">
        <v>7960</v>
      </c>
      <c r="B1547" s="26"/>
      <c r="C1547" s="26" t="s">
        <v>7961</v>
      </c>
      <c r="D1547" s="26"/>
      <c r="E1547" s="26"/>
    </row>
    <row r="1548" spans="1:5" s="16" customFormat="1" ht="12.95" customHeight="1">
      <c r="A1548" s="26" t="s">
        <v>7962</v>
      </c>
      <c r="B1548" s="26"/>
      <c r="C1548" s="26" t="s">
        <v>7963</v>
      </c>
      <c r="D1548" s="26"/>
      <c r="E1548" s="26"/>
    </row>
    <row r="1549" spans="1:5" s="16" customFormat="1" ht="12.95" customHeight="1">
      <c r="A1549" s="26" t="s">
        <v>7964</v>
      </c>
      <c r="B1549" s="26"/>
      <c r="C1549" s="26" t="s">
        <v>7965</v>
      </c>
      <c r="D1549" s="26"/>
      <c r="E1549" s="26"/>
    </row>
    <row r="1550" spans="1:5" s="16" customFormat="1" ht="12.95" customHeight="1">
      <c r="A1550" s="26" t="s">
        <v>7966</v>
      </c>
      <c r="B1550" s="26"/>
      <c r="C1550" s="26" t="s">
        <v>7967</v>
      </c>
      <c r="D1550" s="26"/>
      <c r="E1550" s="26"/>
    </row>
    <row r="1551" spans="1:5" s="16" customFormat="1" ht="12.95" customHeight="1">
      <c r="A1551" s="26" t="s">
        <v>7968</v>
      </c>
      <c r="B1551" s="26"/>
      <c r="C1551" s="26" t="s">
        <v>7969</v>
      </c>
      <c r="D1551" s="26"/>
      <c r="E1551" s="26"/>
    </row>
    <row r="1552" spans="1:5" s="16" customFormat="1" ht="12.95" customHeight="1">
      <c r="A1552" s="26" t="s">
        <v>7970</v>
      </c>
      <c r="B1552" s="26"/>
      <c r="C1552" s="26" t="s">
        <v>7971</v>
      </c>
      <c r="D1552" s="26"/>
      <c r="E1552" s="26"/>
    </row>
    <row r="1553" spans="1:5" s="16" customFormat="1" ht="12.95" customHeight="1">
      <c r="A1553" s="26" t="s">
        <v>7972</v>
      </c>
      <c r="B1553" s="26"/>
      <c r="C1553" s="26" t="s">
        <v>7973</v>
      </c>
      <c r="D1553" s="26"/>
      <c r="E1553" s="26"/>
    </row>
    <row r="1554" spans="1:5" s="16" customFormat="1" ht="12.95" customHeight="1">
      <c r="A1554" s="26" t="s">
        <v>7974</v>
      </c>
      <c r="B1554" s="26"/>
      <c r="C1554" s="26" t="s">
        <v>7971</v>
      </c>
      <c r="D1554" s="26"/>
      <c r="E1554" s="26"/>
    </row>
    <row r="1555" spans="1:5" s="16" customFormat="1" ht="12.95" customHeight="1">
      <c r="A1555" s="26" t="s">
        <v>7975</v>
      </c>
      <c r="B1555" s="26"/>
      <c r="C1555" s="26" t="s">
        <v>7976</v>
      </c>
      <c r="D1555" s="26"/>
      <c r="E1555" s="26"/>
    </row>
    <row r="1556" spans="1:5" s="16" customFormat="1" ht="12.95" customHeight="1">
      <c r="A1556" s="26" t="s">
        <v>7977</v>
      </c>
      <c r="B1556" s="26"/>
      <c r="C1556" s="26" t="s">
        <v>7978</v>
      </c>
      <c r="D1556" s="26"/>
      <c r="E1556" s="26"/>
    </row>
    <row r="1557" spans="1:5" s="16" customFormat="1" ht="12.95" customHeight="1">
      <c r="A1557" s="26" t="s">
        <v>7979</v>
      </c>
      <c r="B1557" s="26"/>
      <c r="C1557" s="26" t="s">
        <v>7980</v>
      </c>
      <c r="D1557" s="26"/>
      <c r="E1557" s="26"/>
    </row>
    <row r="1558" spans="1:5" s="16" customFormat="1" ht="12.95" customHeight="1">
      <c r="A1558" s="26" t="s">
        <v>7981</v>
      </c>
      <c r="B1558" s="26"/>
      <c r="C1558" s="26" t="s">
        <v>7982</v>
      </c>
      <c r="D1558" s="26"/>
      <c r="E1558" s="26"/>
    </row>
    <row r="1559" spans="1:5" s="16" customFormat="1" ht="12.95" customHeight="1">
      <c r="A1559" s="26" t="s">
        <v>7983</v>
      </c>
      <c r="B1559" s="26"/>
      <c r="C1559" s="26" t="s">
        <v>7984</v>
      </c>
      <c r="D1559" s="26"/>
      <c r="E1559" s="26"/>
    </row>
    <row r="1560" spans="1:5" s="16" customFormat="1" ht="12.95" customHeight="1">
      <c r="A1560" s="26" t="s">
        <v>7985</v>
      </c>
      <c r="B1560" s="26"/>
      <c r="C1560" s="26" t="s">
        <v>7986</v>
      </c>
      <c r="D1560" s="26"/>
      <c r="E1560" s="26"/>
    </row>
    <row r="1561" spans="1:5" s="16" customFormat="1" ht="12.95" customHeight="1">
      <c r="A1561" s="26" t="s">
        <v>7987</v>
      </c>
      <c r="B1561" s="26"/>
      <c r="C1561" s="26" t="s">
        <v>7988</v>
      </c>
      <c r="D1561" s="26"/>
      <c r="E1561" s="26"/>
    </row>
    <row r="1562" spans="1:5" s="16" customFormat="1" ht="12.95" customHeight="1">
      <c r="A1562" s="26" t="s">
        <v>7989</v>
      </c>
      <c r="B1562" s="26"/>
      <c r="C1562" s="26" t="s">
        <v>7990</v>
      </c>
      <c r="D1562" s="26"/>
      <c r="E1562" s="26"/>
    </row>
    <row r="1563" spans="1:5" s="16" customFormat="1" ht="12.95" customHeight="1">
      <c r="A1563" s="26" t="s">
        <v>7991</v>
      </c>
      <c r="B1563" s="26"/>
      <c r="C1563" s="26" t="s">
        <v>7992</v>
      </c>
      <c r="D1563" s="26"/>
      <c r="E1563" s="26"/>
    </row>
    <row r="1564" spans="1:5" s="16" customFormat="1" ht="12.95" customHeight="1">
      <c r="A1564" s="26" t="s">
        <v>7993</v>
      </c>
      <c r="B1564" s="26"/>
      <c r="C1564" s="26" t="s">
        <v>7994</v>
      </c>
      <c r="D1564" s="26"/>
      <c r="E1564" s="26"/>
    </row>
    <row r="1565" spans="1:5" s="16" customFormat="1" ht="12.95" customHeight="1">
      <c r="A1565" s="26" t="s">
        <v>7995</v>
      </c>
      <c r="B1565" s="26"/>
      <c r="C1565" s="26" t="s">
        <v>7996</v>
      </c>
      <c r="D1565" s="26"/>
      <c r="E1565" s="26"/>
    </row>
    <row r="1566" spans="1:5" s="16" customFormat="1" ht="12.95" customHeight="1">
      <c r="A1566" s="26" t="s">
        <v>7997</v>
      </c>
      <c r="B1566" s="26"/>
      <c r="C1566" s="26" t="s">
        <v>7998</v>
      </c>
      <c r="D1566" s="26"/>
      <c r="E1566" s="26"/>
    </row>
    <row r="1567" spans="1:5" s="16" customFormat="1" ht="12.95" customHeight="1">
      <c r="A1567" s="26" t="s">
        <v>7999</v>
      </c>
      <c r="B1567" s="26"/>
      <c r="C1567" s="26" t="s">
        <v>8000</v>
      </c>
      <c r="D1567" s="26"/>
      <c r="E1567" s="26"/>
    </row>
    <row r="1568" spans="1:5" s="16" customFormat="1" ht="12.95" customHeight="1">
      <c r="A1568" s="26" t="s">
        <v>8001</v>
      </c>
      <c r="B1568" s="26"/>
      <c r="C1568" s="26" t="s">
        <v>8002</v>
      </c>
      <c r="D1568" s="26"/>
      <c r="E1568" s="26"/>
    </row>
    <row r="1569" spans="1:5" s="16" customFormat="1" ht="12.95" customHeight="1">
      <c r="A1569" s="26" t="s">
        <v>8003</v>
      </c>
      <c r="B1569" s="26"/>
      <c r="C1569" s="26" t="s">
        <v>8004</v>
      </c>
      <c r="D1569" s="26"/>
      <c r="E1569" s="26"/>
    </row>
    <row r="1570" spans="1:5" s="16" customFormat="1" ht="12.95" customHeight="1">
      <c r="A1570" s="26" t="s">
        <v>8005</v>
      </c>
      <c r="B1570" s="26"/>
      <c r="C1570" s="26" t="s">
        <v>8006</v>
      </c>
      <c r="D1570" s="26"/>
      <c r="E1570" s="26"/>
    </row>
    <row r="1571" spans="1:5" s="16" customFormat="1" ht="12.95" customHeight="1">
      <c r="A1571" s="26" t="s">
        <v>8007</v>
      </c>
      <c r="B1571" s="26"/>
      <c r="C1571" s="26" t="s">
        <v>8008</v>
      </c>
      <c r="D1571" s="26"/>
      <c r="E1571" s="26"/>
    </row>
    <row r="1572" spans="1:5" s="16" customFormat="1" ht="12.95" customHeight="1">
      <c r="A1572" s="26" t="s">
        <v>8009</v>
      </c>
      <c r="B1572" s="26"/>
      <c r="C1572" s="26" t="s">
        <v>8010</v>
      </c>
      <c r="D1572" s="26"/>
      <c r="E1572" s="26"/>
    </row>
    <row r="1573" spans="1:5" s="16" customFormat="1" ht="12.95" customHeight="1">
      <c r="A1573" s="26" t="s">
        <v>8011</v>
      </c>
      <c r="B1573" s="26"/>
      <c r="C1573" s="26" t="s">
        <v>8008</v>
      </c>
      <c r="D1573" s="26"/>
      <c r="E1573" s="26"/>
    </row>
    <row r="1574" spans="1:5" s="16" customFormat="1" ht="12.95" customHeight="1">
      <c r="A1574" s="26" t="s">
        <v>8012</v>
      </c>
      <c r="B1574" s="26"/>
      <c r="C1574" s="26" t="s">
        <v>8013</v>
      </c>
      <c r="D1574" s="26"/>
      <c r="E1574" s="26"/>
    </row>
    <row r="1575" spans="1:5" s="16" customFormat="1" ht="12.95" customHeight="1">
      <c r="A1575" s="26" t="s">
        <v>8014</v>
      </c>
      <c r="B1575" s="26"/>
      <c r="C1575" s="26" t="s">
        <v>8015</v>
      </c>
      <c r="D1575" s="26"/>
      <c r="E1575" s="26"/>
    </row>
    <row r="1576" spans="1:5" s="16" customFormat="1" ht="12.95" customHeight="1">
      <c r="A1576" s="26" t="s">
        <v>8016</v>
      </c>
      <c r="B1576" s="26"/>
      <c r="C1576" s="26" t="s">
        <v>8017</v>
      </c>
      <c r="D1576" s="26"/>
      <c r="E1576" s="26"/>
    </row>
    <row r="1577" spans="1:5" s="16" customFormat="1" ht="12.95" customHeight="1">
      <c r="A1577" s="26" t="s">
        <v>8018</v>
      </c>
      <c r="B1577" s="26"/>
      <c r="C1577" s="26" t="s">
        <v>8017</v>
      </c>
      <c r="D1577" s="26"/>
      <c r="E1577" s="26"/>
    </row>
    <row r="1578" spans="1:5" s="16" customFormat="1" ht="12.95" customHeight="1">
      <c r="A1578" s="26" t="s">
        <v>8019</v>
      </c>
      <c r="B1578" s="26"/>
      <c r="C1578" s="26" t="s">
        <v>8020</v>
      </c>
      <c r="D1578" s="26"/>
      <c r="E1578" s="26"/>
    </row>
    <row r="1579" spans="1:5" s="16" customFormat="1" ht="12.95" customHeight="1">
      <c r="A1579" s="26" t="s">
        <v>8021</v>
      </c>
      <c r="B1579" s="26"/>
      <c r="C1579" s="26" t="s">
        <v>8022</v>
      </c>
      <c r="D1579" s="26"/>
      <c r="E1579" s="26"/>
    </row>
    <row r="1580" spans="1:5" s="16" customFormat="1" ht="12.95" customHeight="1">
      <c r="A1580" s="26" t="s">
        <v>8023</v>
      </c>
      <c r="B1580" s="26"/>
      <c r="C1580" s="26" t="s">
        <v>8024</v>
      </c>
      <c r="D1580" s="26"/>
      <c r="E1580" s="26"/>
    </row>
    <row r="1581" spans="1:5" s="16" customFormat="1" ht="12.95" customHeight="1">
      <c r="A1581" s="26" t="s">
        <v>8025</v>
      </c>
      <c r="B1581" s="26"/>
      <c r="C1581" s="26" t="s">
        <v>8026</v>
      </c>
      <c r="D1581" s="26"/>
      <c r="E1581" s="26"/>
    </row>
    <row r="1582" spans="1:5" s="16" customFormat="1" ht="12.95" customHeight="1">
      <c r="A1582" s="26" t="s">
        <v>8027</v>
      </c>
      <c r="B1582" s="26"/>
      <c r="C1582" s="26" t="s">
        <v>8028</v>
      </c>
      <c r="D1582" s="26"/>
      <c r="E1582" s="26"/>
    </row>
    <row r="1583" spans="1:5" s="16" customFormat="1" ht="12.95" customHeight="1">
      <c r="A1583" s="26" t="s">
        <v>8029</v>
      </c>
      <c r="B1583" s="26"/>
      <c r="C1583" s="26" t="s">
        <v>8026</v>
      </c>
      <c r="D1583" s="26"/>
      <c r="E1583" s="26"/>
    </row>
    <row r="1584" spans="1:5" s="16" customFormat="1" ht="12.95" customHeight="1">
      <c r="A1584" s="26" t="s">
        <v>8030</v>
      </c>
      <c r="B1584" s="26"/>
      <c r="C1584" s="26" t="s">
        <v>8028</v>
      </c>
      <c r="D1584" s="26"/>
      <c r="E1584" s="26"/>
    </row>
    <row r="1585" spans="1:5" s="16" customFormat="1" ht="12.95" customHeight="1">
      <c r="A1585" s="26" t="s">
        <v>8031</v>
      </c>
      <c r="B1585" s="26"/>
      <c r="C1585" s="26" t="s">
        <v>8032</v>
      </c>
      <c r="D1585" s="26"/>
      <c r="E1585" s="26"/>
    </row>
    <row r="1586" spans="1:5" s="16" customFormat="1" ht="12.95" customHeight="1">
      <c r="A1586" s="26" t="s">
        <v>8033</v>
      </c>
      <c r="B1586" s="26"/>
      <c r="C1586" s="26" t="s">
        <v>8034</v>
      </c>
      <c r="D1586" s="26"/>
      <c r="E1586" s="26"/>
    </row>
    <row r="1587" spans="1:5" s="16" customFormat="1" ht="12.95" customHeight="1">
      <c r="A1587" s="26" t="s">
        <v>8035</v>
      </c>
      <c r="B1587" s="26"/>
      <c r="C1587" s="26" t="s">
        <v>8036</v>
      </c>
      <c r="D1587" s="26"/>
      <c r="E1587" s="26"/>
    </row>
    <row r="1588" spans="1:5" s="16" customFormat="1" ht="12.95" customHeight="1">
      <c r="A1588" s="26" t="s">
        <v>8037</v>
      </c>
      <c r="B1588" s="26"/>
      <c r="C1588" s="26" t="s">
        <v>8038</v>
      </c>
      <c r="D1588" s="26"/>
      <c r="E1588" s="26"/>
    </row>
    <row r="1589" spans="1:5" s="16" customFormat="1" ht="12.95" customHeight="1">
      <c r="A1589" s="26" t="s">
        <v>8039</v>
      </c>
      <c r="B1589" s="26"/>
      <c r="C1589" s="26" t="s">
        <v>8040</v>
      </c>
      <c r="D1589" s="26"/>
      <c r="E1589" s="26"/>
    </row>
    <row r="1590" spans="1:5" s="16" customFormat="1" ht="12.95" customHeight="1">
      <c r="A1590" s="26" t="s">
        <v>8041</v>
      </c>
      <c r="B1590" s="26"/>
      <c r="C1590" s="26" t="s">
        <v>8042</v>
      </c>
      <c r="D1590" s="26"/>
      <c r="E1590" s="26"/>
    </row>
    <row r="1591" spans="1:5" s="16" customFormat="1" ht="12.95" customHeight="1">
      <c r="A1591" s="26" t="s">
        <v>8043</v>
      </c>
      <c r="B1591" s="26"/>
      <c r="C1591" s="26" t="s">
        <v>8044</v>
      </c>
      <c r="D1591" s="26"/>
      <c r="E1591" s="26"/>
    </row>
    <row r="1592" spans="1:5" s="16" customFormat="1" ht="12.95" customHeight="1">
      <c r="A1592" s="26" t="s">
        <v>8045</v>
      </c>
      <c r="B1592" s="26"/>
      <c r="C1592" s="26" t="s">
        <v>8046</v>
      </c>
      <c r="D1592" s="26"/>
      <c r="E1592" s="26"/>
    </row>
    <row r="1593" spans="1:5" s="16" customFormat="1" ht="12.95" customHeight="1">
      <c r="A1593" s="26" t="s">
        <v>8047</v>
      </c>
      <c r="B1593" s="26"/>
      <c r="C1593" s="26" t="s">
        <v>8048</v>
      </c>
      <c r="D1593" s="26"/>
      <c r="E1593" s="26"/>
    </row>
    <row r="1594" spans="1:5" s="16" customFormat="1" ht="12.95" customHeight="1">
      <c r="A1594" s="26" t="s">
        <v>8049</v>
      </c>
      <c r="B1594" s="26"/>
      <c r="C1594" s="26" t="s">
        <v>8050</v>
      </c>
      <c r="D1594" s="26"/>
      <c r="E1594" s="26"/>
    </row>
    <row r="1595" spans="1:5" s="16" customFormat="1" ht="12.95" customHeight="1">
      <c r="A1595" s="26" t="s">
        <v>8051</v>
      </c>
      <c r="B1595" s="26"/>
      <c r="C1595" s="26" t="s">
        <v>8052</v>
      </c>
      <c r="D1595" s="26"/>
      <c r="E1595" s="26"/>
    </row>
    <row r="1596" spans="1:5" s="16" customFormat="1" ht="12.95" customHeight="1">
      <c r="A1596" s="26" t="s">
        <v>8053</v>
      </c>
      <c r="B1596" s="26"/>
      <c r="C1596" s="26" t="s">
        <v>8054</v>
      </c>
      <c r="D1596" s="26"/>
      <c r="E1596" s="26"/>
    </row>
    <row r="1597" spans="1:5" s="16" customFormat="1" ht="12.95" customHeight="1">
      <c r="A1597" s="26" t="s">
        <v>5148</v>
      </c>
      <c r="B1597" s="26"/>
      <c r="C1597" s="26" t="s">
        <v>8055</v>
      </c>
      <c r="D1597" s="26"/>
      <c r="E1597" s="26"/>
    </row>
    <row r="1598" spans="1:5" s="16" customFormat="1" ht="12.95" customHeight="1">
      <c r="A1598" s="26" t="s">
        <v>8056</v>
      </c>
      <c r="B1598" s="26"/>
      <c r="C1598" s="26" t="s">
        <v>8057</v>
      </c>
      <c r="D1598" s="26"/>
      <c r="E1598" s="26"/>
    </row>
    <row r="1599" spans="1:5" s="16" customFormat="1" ht="12.95" customHeight="1">
      <c r="A1599" s="26" t="s">
        <v>8058</v>
      </c>
      <c r="B1599" s="26"/>
      <c r="C1599" s="26" t="s">
        <v>8059</v>
      </c>
      <c r="D1599" s="26"/>
      <c r="E1599" s="26"/>
    </row>
    <row r="1600" spans="1:5" s="16" customFormat="1" ht="12.95" customHeight="1">
      <c r="A1600" s="26" t="s">
        <v>8060</v>
      </c>
      <c r="B1600" s="26"/>
      <c r="C1600" s="26" t="s">
        <v>8061</v>
      </c>
      <c r="D1600" s="26"/>
      <c r="E1600" s="26"/>
    </row>
    <row r="1601" spans="1:5" s="16" customFormat="1" ht="12.95" customHeight="1">
      <c r="A1601" s="26" t="s">
        <v>8062</v>
      </c>
      <c r="B1601" s="26"/>
      <c r="C1601" s="26" t="s">
        <v>8063</v>
      </c>
      <c r="D1601" s="26"/>
      <c r="E1601" s="26"/>
    </row>
    <row r="1602" spans="1:5" s="16" customFormat="1" ht="12.95" customHeight="1">
      <c r="A1602" s="26" t="s">
        <v>7241</v>
      </c>
      <c r="B1602" s="26"/>
      <c r="C1602" s="26" t="s">
        <v>8055</v>
      </c>
      <c r="D1602" s="26"/>
      <c r="E1602" s="26"/>
    </row>
    <row r="1603" spans="1:5" s="16" customFormat="1" ht="12.95" customHeight="1">
      <c r="A1603" s="26" t="s">
        <v>8064</v>
      </c>
      <c r="B1603" s="26"/>
      <c r="C1603" s="26" t="s">
        <v>8057</v>
      </c>
      <c r="D1603" s="26"/>
      <c r="E1603" s="26"/>
    </row>
    <row r="1604" spans="1:5" s="16" customFormat="1" ht="12.95" customHeight="1">
      <c r="A1604" s="26" t="s">
        <v>8065</v>
      </c>
      <c r="B1604" s="26"/>
      <c r="C1604" s="26" t="s">
        <v>8059</v>
      </c>
      <c r="D1604" s="26"/>
      <c r="E1604" s="26"/>
    </row>
    <row r="1605" spans="1:5" s="16" customFormat="1" ht="12.95" customHeight="1">
      <c r="A1605" s="26" t="s">
        <v>6863</v>
      </c>
      <c r="B1605" s="26"/>
      <c r="C1605" s="26" t="s">
        <v>8061</v>
      </c>
      <c r="D1605" s="26"/>
      <c r="E1605" s="26"/>
    </row>
    <row r="1606" spans="1:5" s="16" customFormat="1" ht="12.95" customHeight="1">
      <c r="A1606" s="26" t="s">
        <v>8066</v>
      </c>
      <c r="B1606" s="26"/>
      <c r="C1606" s="26" t="s">
        <v>8067</v>
      </c>
      <c r="D1606" s="26"/>
      <c r="E1606" s="26"/>
    </row>
    <row r="1607" spans="1:5" s="16" customFormat="1" ht="12.95" customHeight="1">
      <c r="A1607" s="26" t="s">
        <v>8068</v>
      </c>
      <c r="B1607" s="26"/>
      <c r="C1607" s="26" t="s">
        <v>8063</v>
      </c>
      <c r="D1607" s="26"/>
      <c r="E1607" s="26"/>
    </row>
    <row r="1608" spans="1:5" s="16" customFormat="1" ht="12.95" customHeight="1">
      <c r="A1608" s="26" t="s">
        <v>3466</v>
      </c>
      <c r="B1608" s="26"/>
      <c r="C1608" s="26" t="s">
        <v>8069</v>
      </c>
      <c r="D1608" s="26"/>
      <c r="E1608" s="26"/>
    </row>
    <row r="1609" spans="1:5" s="16" customFormat="1" ht="12.95" customHeight="1">
      <c r="A1609" s="26" t="s">
        <v>8070</v>
      </c>
      <c r="B1609" s="26"/>
      <c r="C1609" s="26" t="s">
        <v>8071</v>
      </c>
      <c r="D1609" s="26"/>
      <c r="E1609" s="26"/>
    </row>
    <row r="1610" spans="1:5" s="16" customFormat="1" ht="12.95" customHeight="1">
      <c r="A1610" s="26" t="s">
        <v>6457</v>
      </c>
      <c r="B1610" s="26"/>
      <c r="C1610" s="26" t="s">
        <v>8072</v>
      </c>
      <c r="D1610" s="26"/>
      <c r="E1610" s="26"/>
    </row>
    <row r="1611" spans="1:5" s="16" customFormat="1" ht="12.95" customHeight="1">
      <c r="A1611" s="26" t="s">
        <v>8073</v>
      </c>
      <c r="B1611" s="26"/>
      <c r="C1611" s="26" t="s">
        <v>8074</v>
      </c>
      <c r="D1611" s="26"/>
      <c r="E1611" s="26"/>
    </row>
    <row r="1612" spans="1:5" s="16" customFormat="1" ht="12.95" customHeight="1">
      <c r="A1612" s="26" t="s">
        <v>8075</v>
      </c>
      <c r="B1612" s="26"/>
      <c r="C1612" s="26" t="s">
        <v>8055</v>
      </c>
      <c r="D1612" s="26"/>
      <c r="E1612" s="26"/>
    </row>
    <row r="1613" spans="1:5" s="16" customFormat="1" ht="12.95" customHeight="1">
      <c r="A1613" s="26" t="s">
        <v>8076</v>
      </c>
      <c r="B1613" s="26"/>
      <c r="C1613" s="26" t="s">
        <v>8072</v>
      </c>
      <c r="D1613" s="26"/>
      <c r="E1613" s="26"/>
    </row>
    <row r="1614" spans="1:5" s="16" customFormat="1" ht="12.95" customHeight="1">
      <c r="A1614" s="26" t="s">
        <v>8077</v>
      </c>
      <c r="B1614" s="26"/>
      <c r="C1614" s="26" t="s">
        <v>8078</v>
      </c>
      <c r="D1614" s="26"/>
      <c r="E1614" s="26"/>
    </row>
    <row r="1615" spans="1:5" s="16" customFormat="1" ht="12.95" customHeight="1">
      <c r="A1615" s="26" t="s">
        <v>8079</v>
      </c>
      <c r="B1615" s="26"/>
      <c r="C1615" s="26" t="s">
        <v>8080</v>
      </c>
      <c r="D1615" s="26"/>
      <c r="E1615" s="26"/>
    </row>
    <row r="1616" spans="1:5" s="16" customFormat="1" ht="12.95" customHeight="1">
      <c r="A1616" s="26" t="s">
        <v>8081</v>
      </c>
      <c r="B1616" s="26"/>
      <c r="C1616" s="26" t="s">
        <v>8082</v>
      </c>
      <c r="D1616" s="26"/>
      <c r="E1616" s="26"/>
    </row>
    <row r="1617" spans="1:5" s="16" customFormat="1" ht="12.95" customHeight="1">
      <c r="A1617" s="26" t="s">
        <v>8083</v>
      </c>
      <c r="B1617" s="26"/>
      <c r="C1617" s="26" t="s">
        <v>8084</v>
      </c>
      <c r="D1617" s="26"/>
      <c r="E1617" s="26"/>
    </row>
    <row r="1618" spans="1:5" s="16" customFormat="1" ht="12.95" customHeight="1">
      <c r="A1618" s="26" t="s">
        <v>8085</v>
      </c>
      <c r="B1618" s="26"/>
      <c r="C1618" s="26" t="s">
        <v>8080</v>
      </c>
      <c r="D1618" s="26"/>
      <c r="E1618" s="26"/>
    </row>
    <row r="1619" spans="1:5" s="16" customFormat="1" ht="12.95" customHeight="1">
      <c r="A1619" s="26" t="s">
        <v>8086</v>
      </c>
      <c r="B1619" s="26"/>
      <c r="C1619" s="26" t="s">
        <v>8084</v>
      </c>
      <c r="D1619" s="26"/>
      <c r="E1619" s="26"/>
    </row>
    <row r="1620" spans="1:5" s="16" customFormat="1" ht="12.95" customHeight="1">
      <c r="A1620" s="26" t="s">
        <v>8087</v>
      </c>
      <c r="B1620" s="26"/>
      <c r="C1620" s="26" t="s">
        <v>8080</v>
      </c>
      <c r="D1620" s="26"/>
      <c r="E1620" s="26"/>
    </row>
    <row r="1621" spans="1:5" s="16" customFormat="1" ht="12.95" customHeight="1">
      <c r="A1621" s="26" t="s">
        <v>8088</v>
      </c>
      <c r="B1621" s="26"/>
      <c r="C1621" s="26" t="s">
        <v>8089</v>
      </c>
      <c r="D1621" s="26"/>
      <c r="E1621" s="26"/>
    </row>
    <row r="1622" spans="1:5" s="16" customFormat="1" ht="12.95" customHeight="1">
      <c r="A1622" s="26" t="s">
        <v>8090</v>
      </c>
      <c r="B1622" s="26"/>
      <c r="C1622" s="26" t="s">
        <v>8091</v>
      </c>
      <c r="D1622" s="26"/>
      <c r="E1622" s="26"/>
    </row>
    <row r="1623" spans="1:5" s="16" customFormat="1" ht="12.95" customHeight="1">
      <c r="A1623" s="26" t="s">
        <v>8090</v>
      </c>
      <c r="B1623" s="26"/>
      <c r="C1623" s="26" t="s">
        <v>8091</v>
      </c>
      <c r="D1623" s="26"/>
      <c r="E1623" s="26"/>
    </row>
    <row r="1624" spans="1:5" s="16" customFormat="1" ht="12.95" customHeight="1">
      <c r="A1624" s="26" t="s">
        <v>4065</v>
      </c>
      <c r="B1624" s="26"/>
      <c r="C1624" s="26" t="s">
        <v>8092</v>
      </c>
      <c r="D1624" s="26"/>
      <c r="E1624" s="26"/>
    </row>
    <row r="1625" spans="1:5" s="16" customFormat="1" ht="12.95" customHeight="1">
      <c r="A1625" s="26" t="s">
        <v>2988</v>
      </c>
      <c r="B1625" s="26"/>
      <c r="C1625" s="26" t="s">
        <v>8093</v>
      </c>
      <c r="D1625" s="26"/>
      <c r="E1625" s="26"/>
    </row>
    <row r="1626" spans="1:5" s="16" customFormat="1" ht="12.95" customHeight="1">
      <c r="A1626" s="26" t="s">
        <v>135</v>
      </c>
      <c r="B1626" s="26"/>
      <c r="C1626" s="26" t="s">
        <v>8094</v>
      </c>
      <c r="D1626" s="26"/>
      <c r="E1626" s="26"/>
    </row>
    <row r="1627" spans="1:5" s="16" customFormat="1" ht="12.95" customHeight="1">
      <c r="A1627" s="26" t="s">
        <v>113</v>
      </c>
      <c r="B1627" s="26"/>
      <c r="C1627" s="26" t="s">
        <v>8095</v>
      </c>
      <c r="D1627" s="26"/>
      <c r="E1627" s="26"/>
    </row>
    <row r="1628" spans="1:5" s="16" customFormat="1" ht="12.95" customHeight="1">
      <c r="A1628" s="26" t="s">
        <v>340</v>
      </c>
      <c r="B1628" s="26"/>
      <c r="C1628" s="26" t="s">
        <v>8095</v>
      </c>
      <c r="D1628" s="26"/>
      <c r="E1628" s="26"/>
    </row>
    <row r="1629" spans="1:5" s="16" customFormat="1" ht="12.95" customHeight="1">
      <c r="A1629" s="26" t="s">
        <v>8096</v>
      </c>
      <c r="B1629" s="26"/>
      <c r="C1629" s="26" t="s">
        <v>8097</v>
      </c>
      <c r="D1629" s="26"/>
      <c r="E1629" s="26"/>
    </row>
    <row r="1630" spans="1:5" s="16" customFormat="1" ht="12.95" customHeight="1">
      <c r="A1630" s="26" t="s">
        <v>97</v>
      </c>
      <c r="B1630" s="26"/>
      <c r="C1630" s="26" t="s">
        <v>8093</v>
      </c>
      <c r="D1630" s="26"/>
      <c r="E1630" s="26"/>
    </row>
    <row r="1631" spans="1:5" s="16" customFormat="1" ht="12.95" customHeight="1">
      <c r="A1631" s="26" t="s">
        <v>3657</v>
      </c>
      <c r="B1631" s="26"/>
      <c r="C1631" s="26" t="s">
        <v>8098</v>
      </c>
      <c r="D1631" s="26"/>
      <c r="E1631" s="26"/>
    </row>
    <row r="1632" spans="1:5" s="16" customFormat="1" ht="12.95" customHeight="1">
      <c r="A1632" s="26" t="s">
        <v>8099</v>
      </c>
      <c r="B1632" s="26"/>
      <c r="C1632" s="26" t="s">
        <v>8100</v>
      </c>
      <c r="D1632" s="26"/>
      <c r="E1632" s="26"/>
    </row>
    <row r="1633" spans="1:5" s="16" customFormat="1" ht="12.95" customHeight="1">
      <c r="A1633" s="26" t="s">
        <v>2085</v>
      </c>
      <c r="B1633" s="26"/>
      <c r="C1633" s="26" t="s">
        <v>8095</v>
      </c>
      <c r="D1633" s="26"/>
      <c r="E1633" s="26"/>
    </row>
    <row r="1634" spans="1:5" s="16" customFormat="1" ht="12.95" customHeight="1">
      <c r="A1634" s="26" t="s">
        <v>8101</v>
      </c>
      <c r="B1634" s="26"/>
      <c r="C1634" s="26" t="s">
        <v>8102</v>
      </c>
      <c r="D1634" s="26"/>
      <c r="E1634" s="26"/>
    </row>
    <row r="1635" spans="1:5" s="16" customFormat="1" ht="12.95" customHeight="1">
      <c r="A1635" s="26" t="s">
        <v>8103</v>
      </c>
      <c r="B1635" s="26"/>
      <c r="C1635" s="26" t="s">
        <v>8104</v>
      </c>
      <c r="D1635" s="26"/>
      <c r="E1635" s="26"/>
    </row>
    <row r="1636" spans="1:5" s="16" customFormat="1" ht="12.95" customHeight="1">
      <c r="A1636" s="26" t="s">
        <v>8105</v>
      </c>
      <c r="B1636" s="26"/>
      <c r="C1636" s="26" t="s">
        <v>8106</v>
      </c>
      <c r="D1636" s="26"/>
      <c r="E1636" s="26"/>
    </row>
    <row r="1637" spans="1:5" s="16" customFormat="1" ht="12.95" customHeight="1">
      <c r="A1637" s="26" t="s">
        <v>8107</v>
      </c>
      <c r="B1637" s="26"/>
      <c r="C1637" s="26" t="s">
        <v>8108</v>
      </c>
      <c r="D1637" s="26"/>
      <c r="E1637" s="26"/>
    </row>
    <row r="1638" spans="1:5" s="16" customFormat="1" ht="12.95" customHeight="1">
      <c r="A1638" s="26" t="s">
        <v>8109</v>
      </c>
      <c r="B1638" s="26"/>
      <c r="C1638" s="26" t="s">
        <v>8110</v>
      </c>
      <c r="D1638" s="26"/>
      <c r="E1638" s="26"/>
    </row>
    <row r="1639" spans="1:5" s="16" customFormat="1" ht="12.95" customHeight="1">
      <c r="A1639" s="26" t="s">
        <v>8111</v>
      </c>
      <c r="B1639" s="26"/>
      <c r="C1639" s="26" t="s">
        <v>8112</v>
      </c>
      <c r="D1639" s="26"/>
      <c r="E1639" s="26"/>
    </row>
    <row r="1640" spans="1:5" s="16" customFormat="1" ht="12.95" customHeight="1">
      <c r="A1640" s="26" t="s">
        <v>8113</v>
      </c>
      <c r="B1640" s="26"/>
      <c r="C1640" s="26" t="s">
        <v>8104</v>
      </c>
      <c r="D1640" s="26"/>
      <c r="E1640" s="26"/>
    </row>
    <row r="1641" spans="1:5" s="16" customFormat="1" ht="12.95" customHeight="1">
      <c r="A1641" s="26" t="s">
        <v>8114</v>
      </c>
      <c r="B1641" s="26"/>
      <c r="C1641" s="26" t="s">
        <v>8106</v>
      </c>
      <c r="D1641" s="26"/>
      <c r="E1641" s="26"/>
    </row>
    <row r="1642" spans="1:5" s="16" customFormat="1" ht="12.95" customHeight="1">
      <c r="A1642" s="26" t="s">
        <v>8115</v>
      </c>
      <c r="B1642" s="26"/>
      <c r="C1642" s="26" t="s">
        <v>8116</v>
      </c>
      <c r="D1642" s="26"/>
      <c r="E1642" s="26"/>
    </row>
    <row r="1643" spans="1:5" s="16" customFormat="1" ht="12.95" customHeight="1">
      <c r="A1643" s="26" t="s">
        <v>8117</v>
      </c>
      <c r="B1643" s="26"/>
      <c r="C1643" s="26" t="s">
        <v>8108</v>
      </c>
      <c r="D1643" s="26"/>
      <c r="E1643" s="26"/>
    </row>
    <row r="1644" spans="1:5" s="16" customFormat="1" ht="12.95" customHeight="1">
      <c r="A1644" s="26" t="s">
        <v>8118</v>
      </c>
      <c r="B1644" s="26"/>
      <c r="C1644" s="26" t="s">
        <v>8110</v>
      </c>
      <c r="D1644" s="26"/>
      <c r="E1644" s="26"/>
    </row>
    <row r="1645" spans="1:5" s="16" customFormat="1" ht="12.95" customHeight="1">
      <c r="A1645" s="26" t="s">
        <v>8119</v>
      </c>
      <c r="B1645" s="26"/>
      <c r="C1645" s="26" t="s">
        <v>8120</v>
      </c>
      <c r="D1645" s="26"/>
      <c r="E1645" s="26"/>
    </row>
    <row r="1646" spans="1:5" s="16" customFormat="1" ht="12.95" customHeight="1">
      <c r="A1646" s="26" t="s">
        <v>8121</v>
      </c>
      <c r="B1646" s="26"/>
      <c r="C1646" s="26" t="s">
        <v>8122</v>
      </c>
      <c r="D1646" s="26"/>
      <c r="E1646" s="26"/>
    </row>
    <row r="1647" spans="1:5" s="16" customFormat="1" ht="12.95" customHeight="1">
      <c r="A1647" s="26" t="s">
        <v>8123</v>
      </c>
      <c r="B1647" s="26"/>
      <c r="C1647" s="26" t="s">
        <v>8124</v>
      </c>
      <c r="D1647" s="26"/>
      <c r="E1647" s="26"/>
    </row>
    <row r="1648" spans="1:5" s="16" customFormat="1" ht="12.95" customHeight="1">
      <c r="A1648" s="26" t="s">
        <v>8125</v>
      </c>
      <c r="B1648" s="26"/>
      <c r="C1648" s="26" t="s">
        <v>8126</v>
      </c>
      <c r="D1648" s="26"/>
      <c r="E1648" s="26"/>
    </row>
    <row r="1649" spans="1:5" s="16" customFormat="1" ht="12.95" customHeight="1">
      <c r="A1649" s="26" t="s">
        <v>8127</v>
      </c>
      <c r="B1649" s="26"/>
      <c r="C1649" s="26" t="s">
        <v>8128</v>
      </c>
      <c r="D1649" s="26"/>
      <c r="E1649" s="26"/>
    </row>
    <row r="1650" spans="1:5" s="16" customFormat="1" ht="12.95" customHeight="1">
      <c r="A1650" s="26" t="s">
        <v>8129</v>
      </c>
      <c r="B1650" s="26"/>
      <c r="C1650" s="26" t="s">
        <v>8130</v>
      </c>
      <c r="D1650" s="26"/>
      <c r="E1650" s="26"/>
    </row>
    <row r="1651" spans="1:5" s="16" customFormat="1" ht="12.95" customHeight="1">
      <c r="A1651" s="26" t="s">
        <v>8131</v>
      </c>
      <c r="B1651" s="26"/>
      <c r="C1651" s="26" t="s">
        <v>8130</v>
      </c>
      <c r="D1651" s="26"/>
      <c r="E1651" s="26"/>
    </row>
    <row r="1652" spans="1:5" s="16" customFormat="1" ht="12.95" customHeight="1">
      <c r="A1652" s="26" t="s">
        <v>8132</v>
      </c>
      <c r="B1652" s="26"/>
      <c r="C1652" s="26" t="s">
        <v>8133</v>
      </c>
      <c r="D1652" s="26"/>
      <c r="E1652" s="26"/>
    </row>
    <row r="1653" spans="1:5" s="16" customFormat="1" ht="12.95" customHeight="1">
      <c r="A1653" s="26" t="s">
        <v>8134</v>
      </c>
      <c r="B1653" s="26"/>
      <c r="C1653" s="26" t="s">
        <v>8135</v>
      </c>
      <c r="D1653" s="26"/>
      <c r="E1653" s="26"/>
    </row>
    <row r="1654" spans="1:5" s="16" customFormat="1" ht="12.95" customHeight="1">
      <c r="A1654" s="26" t="s">
        <v>4274</v>
      </c>
      <c r="B1654" s="26"/>
      <c r="C1654" s="26" t="s">
        <v>7882</v>
      </c>
      <c r="D1654" s="26"/>
      <c r="E1654" s="26"/>
    </row>
    <row r="1655" spans="1:5" s="16" customFormat="1" ht="12.95" customHeight="1">
      <c r="A1655" s="26" t="s">
        <v>8136</v>
      </c>
      <c r="B1655" s="26"/>
      <c r="C1655" s="26" t="s">
        <v>8137</v>
      </c>
      <c r="D1655" s="26"/>
      <c r="E1655" s="26"/>
    </row>
    <row r="1656" spans="1:5" s="16" customFormat="1" ht="12.95" customHeight="1">
      <c r="A1656" s="26" t="s">
        <v>8138</v>
      </c>
      <c r="B1656" s="26"/>
      <c r="C1656" s="26" t="s">
        <v>8139</v>
      </c>
      <c r="D1656" s="26"/>
      <c r="E1656" s="26"/>
    </row>
    <row r="1657" spans="1:5" s="16" customFormat="1" ht="12.95" customHeight="1">
      <c r="A1657" s="26" t="s">
        <v>8140</v>
      </c>
      <c r="B1657" s="26"/>
      <c r="C1657" s="26" t="s">
        <v>8141</v>
      </c>
      <c r="D1657" s="26"/>
      <c r="E1657" s="26"/>
    </row>
    <row r="1658" spans="1:5" s="16" customFormat="1" ht="12.95" customHeight="1">
      <c r="A1658" s="26" t="s">
        <v>8142</v>
      </c>
      <c r="B1658" s="26"/>
      <c r="C1658" s="26" t="s">
        <v>8143</v>
      </c>
      <c r="D1658" s="26"/>
      <c r="E1658" s="26"/>
    </row>
    <row r="1659" spans="1:5" s="16" customFormat="1" ht="12.95" customHeight="1">
      <c r="A1659" s="26" t="s">
        <v>8144</v>
      </c>
      <c r="B1659" s="26"/>
      <c r="C1659" s="26" t="s">
        <v>8145</v>
      </c>
      <c r="D1659" s="26"/>
      <c r="E1659" s="26"/>
    </row>
    <row r="1660" spans="1:5" s="16" customFormat="1" ht="12.95" customHeight="1">
      <c r="A1660" s="26" t="s">
        <v>8146</v>
      </c>
      <c r="B1660" s="26"/>
      <c r="C1660" s="26" t="s">
        <v>8147</v>
      </c>
      <c r="D1660" s="26"/>
      <c r="E1660" s="26"/>
    </row>
    <row r="1661" spans="1:5" s="16" customFormat="1" ht="12.95" customHeight="1">
      <c r="A1661" s="26" t="s">
        <v>8148</v>
      </c>
      <c r="B1661" s="26"/>
      <c r="C1661" s="26" t="s">
        <v>8149</v>
      </c>
      <c r="D1661" s="26"/>
      <c r="E1661" s="26"/>
    </row>
    <row r="1662" spans="1:5" s="16" customFormat="1" ht="12.95" customHeight="1">
      <c r="A1662" s="26" t="s">
        <v>8150</v>
      </c>
      <c r="B1662" s="26"/>
      <c r="C1662" s="26" t="s">
        <v>8151</v>
      </c>
      <c r="D1662" s="26"/>
      <c r="E1662" s="26"/>
    </row>
    <row r="1663" spans="1:5" s="16" customFormat="1" ht="12.95" customHeight="1">
      <c r="A1663" s="26" t="s">
        <v>8152</v>
      </c>
      <c r="B1663" s="26"/>
      <c r="C1663" s="26" t="s">
        <v>8153</v>
      </c>
      <c r="D1663" s="26"/>
      <c r="E1663" s="26"/>
    </row>
    <row r="1664" spans="1:5" s="16" customFormat="1" ht="12.95" customHeight="1">
      <c r="A1664" s="26" t="s">
        <v>8154</v>
      </c>
      <c r="B1664" s="26"/>
      <c r="C1664" s="26" t="s">
        <v>8147</v>
      </c>
      <c r="D1664" s="26"/>
      <c r="E1664" s="26"/>
    </row>
    <row r="1665" spans="1:5" s="16" customFormat="1" ht="12.95" customHeight="1">
      <c r="A1665" s="26" t="s">
        <v>8155</v>
      </c>
      <c r="B1665" s="26"/>
      <c r="C1665" s="26" t="s">
        <v>8156</v>
      </c>
      <c r="D1665" s="26"/>
      <c r="E1665" s="26"/>
    </row>
    <row r="1666" spans="1:5" s="16" customFormat="1" ht="12.95" customHeight="1">
      <c r="A1666" s="26" t="s">
        <v>8157</v>
      </c>
      <c r="B1666" s="26"/>
      <c r="C1666" s="26" t="s">
        <v>8149</v>
      </c>
      <c r="D1666" s="26"/>
      <c r="E1666" s="26"/>
    </row>
    <row r="1667" spans="1:5" s="16" customFormat="1" ht="12.95" customHeight="1">
      <c r="A1667" s="26" t="s">
        <v>8158</v>
      </c>
      <c r="B1667" s="26"/>
      <c r="C1667" s="26" t="s">
        <v>8151</v>
      </c>
      <c r="D1667" s="26"/>
      <c r="E1667" s="26"/>
    </row>
    <row r="1668" spans="1:5" s="16" customFormat="1" ht="12.95" customHeight="1">
      <c r="A1668" s="26" t="s">
        <v>8159</v>
      </c>
      <c r="B1668" s="26"/>
      <c r="C1668" s="26" t="s">
        <v>8153</v>
      </c>
      <c r="D1668" s="26"/>
      <c r="E1668" s="26"/>
    </row>
    <row r="1669" spans="1:5" s="16" customFormat="1" ht="12.95" customHeight="1">
      <c r="A1669" s="26" t="s">
        <v>8160</v>
      </c>
      <c r="B1669" s="26"/>
      <c r="C1669" s="26" t="s">
        <v>8147</v>
      </c>
      <c r="D1669" s="26"/>
      <c r="E1669" s="26"/>
    </row>
    <row r="1670" spans="1:5" s="16" customFormat="1" ht="12.95" customHeight="1">
      <c r="A1670" s="26" t="s">
        <v>8161</v>
      </c>
      <c r="B1670" s="26"/>
      <c r="C1670" s="26" t="s">
        <v>8162</v>
      </c>
      <c r="D1670" s="26"/>
      <c r="E1670" s="26"/>
    </row>
    <row r="1671" spans="1:5" s="16" customFormat="1" ht="12.95" customHeight="1">
      <c r="A1671" s="26" t="s">
        <v>7268</v>
      </c>
      <c r="B1671" s="26"/>
      <c r="C1671" s="26" t="s">
        <v>8163</v>
      </c>
      <c r="D1671" s="26"/>
      <c r="E1671" s="26"/>
    </row>
    <row r="1672" spans="1:5" s="16" customFormat="1" ht="12.95" customHeight="1">
      <c r="A1672" s="26" t="s">
        <v>8164</v>
      </c>
      <c r="B1672" s="26"/>
      <c r="C1672" s="26" t="s">
        <v>8165</v>
      </c>
      <c r="D1672" s="26"/>
      <c r="E1672" s="26"/>
    </row>
    <row r="1673" spans="1:5" s="16" customFormat="1" ht="12.95" customHeight="1">
      <c r="A1673" s="26" t="s">
        <v>8166</v>
      </c>
      <c r="B1673" s="26"/>
      <c r="C1673" s="26" t="s">
        <v>8167</v>
      </c>
      <c r="D1673" s="26"/>
      <c r="E1673" s="26"/>
    </row>
    <row r="1674" spans="1:5" s="16" customFormat="1" ht="12.95" customHeight="1">
      <c r="A1674" s="26" t="s">
        <v>8168</v>
      </c>
      <c r="B1674" s="26"/>
      <c r="C1674" s="26" t="s">
        <v>8169</v>
      </c>
      <c r="D1674" s="26"/>
      <c r="E1674" s="26"/>
    </row>
    <row r="1675" spans="1:5" s="16" customFormat="1" ht="12.95" customHeight="1">
      <c r="A1675" s="26" t="s">
        <v>8170</v>
      </c>
      <c r="B1675" s="26"/>
      <c r="C1675" s="26" t="s">
        <v>8171</v>
      </c>
      <c r="D1675" s="26"/>
      <c r="E1675" s="26"/>
    </row>
    <row r="1676" spans="1:5" s="16" customFormat="1" ht="12.95" customHeight="1">
      <c r="A1676" s="26" t="s">
        <v>8172</v>
      </c>
      <c r="B1676" s="26"/>
      <c r="C1676" s="26" t="s">
        <v>8173</v>
      </c>
      <c r="D1676" s="26"/>
      <c r="E1676" s="26"/>
    </row>
    <row r="1677" spans="1:5" s="16" customFormat="1" ht="12.95" customHeight="1">
      <c r="A1677" s="26" t="s">
        <v>8174</v>
      </c>
      <c r="B1677" s="26"/>
      <c r="C1677" s="26" t="s">
        <v>8171</v>
      </c>
      <c r="D1677" s="26"/>
      <c r="E1677" s="26"/>
    </row>
    <row r="1678" spans="1:5" s="16" customFormat="1" ht="12.95" customHeight="1">
      <c r="A1678" s="26" t="s">
        <v>8175</v>
      </c>
      <c r="B1678" s="26"/>
      <c r="C1678" s="26" t="s">
        <v>8173</v>
      </c>
      <c r="D1678" s="26"/>
      <c r="E1678" s="26"/>
    </row>
    <row r="1679" spans="1:5" s="16" customFormat="1" ht="12.95" customHeight="1">
      <c r="A1679" s="26" t="s">
        <v>8176</v>
      </c>
      <c r="B1679" s="26"/>
      <c r="C1679" s="26" t="s">
        <v>8177</v>
      </c>
      <c r="D1679" s="26"/>
      <c r="E1679" s="26"/>
    </row>
    <row r="1680" spans="1:5" s="16" customFormat="1" ht="12.95" customHeight="1">
      <c r="A1680" s="26" t="s">
        <v>8178</v>
      </c>
      <c r="B1680" s="26"/>
      <c r="C1680" s="26" t="s">
        <v>8179</v>
      </c>
      <c r="D1680" s="26"/>
      <c r="E1680" s="26"/>
    </row>
    <row r="1681" spans="1:5" s="16" customFormat="1" ht="12.95" customHeight="1">
      <c r="A1681" s="26" t="s">
        <v>8180</v>
      </c>
      <c r="B1681" s="26"/>
      <c r="C1681" s="26" t="s">
        <v>8179</v>
      </c>
      <c r="D1681" s="26"/>
      <c r="E1681" s="26"/>
    </row>
    <row r="1682" spans="1:5" s="16" customFormat="1" ht="12.95" customHeight="1">
      <c r="A1682" s="26" t="s">
        <v>8181</v>
      </c>
      <c r="B1682" s="26"/>
      <c r="C1682" s="26" t="s">
        <v>8182</v>
      </c>
      <c r="D1682" s="26"/>
      <c r="E1682" s="26"/>
    </row>
    <row r="1683" spans="1:5" s="16" customFormat="1" ht="12.95" customHeight="1">
      <c r="A1683" s="26" t="s">
        <v>8183</v>
      </c>
      <c r="B1683" s="26"/>
      <c r="C1683" s="26" t="s">
        <v>8184</v>
      </c>
      <c r="D1683" s="26"/>
      <c r="E1683" s="26"/>
    </row>
    <row r="1684" spans="1:5" s="16" customFormat="1" ht="12.95" customHeight="1">
      <c r="A1684" s="26" t="s">
        <v>8185</v>
      </c>
      <c r="B1684" s="26"/>
      <c r="C1684" s="26" t="s">
        <v>8184</v>
      </c>
      <c r="D1684" s="26"/>
      <c r="E1684" s="26"/>
    </row>
    <row r="1685" spans="1:5" s="16" customFormat="1" ht="12.95" customHeight="1">
      <c r="A1685" s="26" t="s">
        <v>8186</v>
      </c>
      <c r="B1685" s="26"/>
      <c r="C1685" s="26" t="s">
        <v>8187</v>
      </c>
      <c r="D1685" s="26"/>
      <c r="E1685" s="26"/>
    </row>
    <row r="1686" spans="1:5" s="16" customFormat="1" ht="12.95" customHeight="1">
      <c r="A1686" s="26" t="s">
        <v>8188</v>
      </c>
      <c r="B1686" s="26"/>
      <c r="C1686" s="26" t="s">
        <v>8189</v>
      </c>
      <c r="D1686" s="26"/>
      <c r="E1686" s="26"/>
    </row>
    <row r="1687" spans="1:5" s="16" customFormat="1" ht="12.95" customHeight="1">
      <c r="A1687" s="26" t="s">
        <v>8190</v>
      </c>
      <c r="B1687" s="26"/>
      <c r="C1687" s="26" t="s">
        <v>8191</v>
      </c>
      <c r="D1687" s="26"/>
      <c r="E1687" s="26"/>
    </row>
    <row r="1688" spans="1:5" s="16" customFormat="1" ht="12.95" customHeight="1">
      <c r="A1688" s="26" t="s">
        <v>8192</v>
      </c>
      <c r="B1688" s="26"/>
      <c r="C1688" s="26" t="s">
        <v>8193</v>
      </c>
      <c r="D1688" s="26"/>
      <c r="E1688" s="26"/>
    </row>
    <row r="1689" spans="1:5" s="16" customFormat="1" ht="12.95" customHeight="1">
      <c r="A1689" s="26" t="s">
        <v>8194</v>
      </c>
      <c r="B1689" s="26"/>
      <c r="C1689" s="26" t="s">
        <v>8195</v>
      </c>
      <c r="D1689" s="26"/>
      <c r="E1689" s="26"/>
    </row>
    <row r="1690" spans="1:5" s="16" customFormat="1" ht="12.95" customHeight="1">
      <c r="A1690" s="26" t="s">
        <v>8196</v>
      </c>
      <c r="B1690" s="26"/>
      <c r="C1690" s="26" t="s">
        <v>8197</v>
      </c>
      <c r="D1690" s="26"/>
      <c r="E1690" s="26"/>
    </row>
    <row r="1691" spans="1:5" s="16" customFormat="1" ht="12.95" customHeight="1">
      <c r="A1691" s="26" t="s">
        <v>8198</v>
      </c>
      <c r="B1691" s="26"/>
      <c r="C1691" s="26" t="s">
        <v>8199</v>
      </c>
      <c r="D1691" s="26"/>
      <c r="E1691" s="26"/>
    </row>
    <row r="1692" spans="1:5" s="16" customFormat="1" ht="12.95" customHeight="1">
      <c r="A1692" s="26" t="s">
        <v>8200</v>
      </c>
      <c r="B1692" s="26"/>
      <c r="C1692" s="26" t="s">
        <v>8195</v>
      </c>
      <c r="D1692" s="26"/>
      <c r="E1692" s="26"/>
    </row>
    <row r="1693" spans="1:5" s="16" customFormat="1" ht="12.95" customHeight="1">
      <c r="A1693" s="26" t="s">
        <v>8201</v>
      </c>
      <c r="B1693" s="26"/>
      <c r="C1693" s="26" t="s">
        <v>8197</v>
      </c>
      <c r="D1693" s="26"/>
      <c r="E1693" s="26"/>
    </row>
    <row r="1694" spans="1:5" s="16" customFormat="1" ht="12.95" customHeight="1">
      <c r="A1694" s="26" t="s">
        <v>8202</v>
      </c>
      <c r="B1694" s="26"/>
      <c r="C1694" s="26" t="s">
        <v>8199</v>
      </c>
      <c r="D1694" s="26"/>
      <c r="E1694" s="26"/>
    </row>
    <row r="1695" spans="1:5" s="16" customFormat="1" ht="12.95" customHeight="1">
      <c r="A1695" s="26" t="s">
        <v>8203</v>
      </c>
      <c r="B1695" s="26"/>
      <c r="C1695" s="26" t="s">
        <v>8204</v>
      </c>
      <c r="D1695" s="26"/>
      <c r="E1695" s="26"/>
    </row>
    <row r="1696" spans="1:5" s="16" customFormat="1" ht="12.95" customHeight="1">
      <c r="A1696" s="26" t="s">
        <v>8205</v>
      </c>
      <c r="B1696" s="26"/>
      <c r="C1696" s="26" t="s">
        <v>8206</v>
      </c>
      <c r="D1696" s="26"/>
      <c r="E1696" s="26"/>
    </row>
    <row r="1697" spans="1:5" s="16" customFormat="1" ht="12.95" customHeight="1">
      <c r="A1697" s="26" t="s">
        <v>8207</v>
      </c>
      <c r="B1697" s="26"/>
      <c r="C1697" s="26" t="s">
        <v>8208</v>
      </c>
      <c r="D1697" s="26"/>
      <c r="E1697" s="26"/>
    </row>
    <row r="1698" spans="1:5" s="16" customFormat="1" ht="12.95" customHeight="1">
      <c r="A1698" s="26" t="s">
        <v>8209</v>
      </c>
      <c r="B1698" s="26"/>
      <c r="C1698" s="26" t="s">
        <v>8210</v>
      </c>
      <c r="D1698" s="26"/>
      <c r="E1698" s="26"/>
    </row>
    <row r="1699" spans="1:5" s="16" customFormat="1" ht="12.95" customHeight="1">
      <c r="A1699" s="26" t="s">
        <v>8211</v>
      </c>
      <c r="B1699" s="26"/>
      <c r="C1699" s="26" t="s">
        <v>8212</v>
      </c>
      <c r="D1699" s="26"/>
      <c r="E1699" s="26"/>
    </row>
    <row r="1700" spans="1:5" s="16" customFormat="1" ht="12.95" customHeight="1">
      <c r="A1700" s="26" t="s">
        <v>8213</v>
      </c>
      <c r="B1700" s="26"/>
      <c r="C1700" s="26" t="s">
        <v>8214</v>
      </c>
      <c r="D1700" s="26"/>
      <c r="E1700" s="26"/>
    </row>
    <row r="1701" spans="1:5" s="16" customFormat="1" ht="12.95" customHeight="1">
      <c r="A1701" s="26" t="s">
        <v>8215</v>
      </c>
      <c r="B1701" s="26"/>
      <c r="C1701" s="26" t="s">
        <v>8216</v>
      </c>
      <c r="D1701" s="26"/>
      <c r="E1701" s="26"/>
    </row>
    <row r="1702" spans="1:5" s="16" customFormat="1" ht="12.95" customHeight="1">
      <c r="A1702" s="26" t="s">
        <v>8217</v>
      </c>
      <c r="B1702" s="26"/>
      <c r="C1702" s="26" t="s">
        <v>8218</v>
      </c>
      <c r="D1702" s="26"/>
      <c r="E1702" s="26"/>
    </row>
    <row r="1703" spans="1:5" s="16" customFormat="1" ht="12.95" customHeight="1">
      <c r="A1703" s="26" t="s">
        <v>8219</v>
      </c>
      <c r="B1703" s="26"/>
      <c r="C1703" s="26" t="s">
        <v>8220</v>
      </c>
      <c r="D1703" s="26"/>
      <c r="E1703" s="26"/>
    </row>
    <row r="1704" spans="1:5" s="16" customFormat="1" ht="12.95" customHeight="1">
      <c r="A1704" s="26" t="s">
        <v>8221</v>
      </c>
      <c r="B1704" s="26"/>
      <c r="C1704" s="26" t="s">
        <v>8222</v>
      </c>
      <c r="D1704" s="26"/>
      <c r="E1704" s="26"/>
    </row>
    <row r="1705" spans="1:5" s="16" customFormat="1" ht="12.95" customHeight="1">
      <c r="A1705" s="26" t="s">
        <v>8223</v>
      </c>
      <c r="B1705" s="26"/>
      <c r="C1705" s="26" t="s">
        <v>8224</v>
      </c>
      <c r="D1705" s="26"/>
      <c r="E1705" s="26"/>
    </row>
    <row r="1706" spans="1:5" s="16" customFormat="1" ht="12.95" customHeight="1">
      <c r="A1706" s="26" t="s">
        <v>8225</v>
      </c>
      <c r="B1706" s="26"/>
      <c r="C1706" s="26" t="s">
        <v>8226</v>
      </c>
      <c r="D1706" s="26"/>
      <c r="E1706" s="26"/>
    </row>
    <row r="1707" spans="1:5" s="16" customFormat="1" ht="12.95" customHeight="1">
      <c r="A1707" s="26" t="s">
        <v>8227</v>
      </c>
      <c r="B1707" s="26"/>
      <c r="C1707" s="26" t="s">
        <v>8228</v>
      </c>
      <c r="D1707" s="26"/>
      <c r="E1707" s="26"/>
    </row>
    <row r="1708" spans="1:5" s="16" customFormat="1" ht="12.95" customHeight="1">
      <c r="A1708" s="26" t="s">
        <v>8229</v>
      </c>
      <c r="B1708" s="26"/>
      <c r="C1708" s="26" t="s">
        <v>8230</v>
      </c>
      <c r="D1708" s="26"/>
      <c r="E1708" s="26"/>
    </row>
    <row r="1709" spans="1:5" s="16" customFormat="1" ht="12.95" customHeight="1">
      <c r="A1709" s="26" t="s">
        <v>8231</v>
      </c>
      <c r="B1709" s="26"/>
      <c r="C1709" s="26" t="s">
        <v>8232</v>
      </c>
      <c r="D1709" s="26"/>
      <c r="E1709" s="26"/>
    </row>
  </sheetData>
  <mergeCells count="547">
    <mergeCell ref="A1706:B1706"/>
    <mergeCell ref="C1706:E1706"/>
    <mergeCell ref="A1707:B1707"/>
    <mergeCell ref="C1707:E1707"/>
    <mergeCell ref="A1708:B1708"/>
    <mergeCell ref="C1708:E1708"/>
    <mergeCell ref="A1709:B1709"/>
    <mergeCell ref="C1709:E1709"/>
    <mergeCell ref="A1701:B1701"/>
    <mergeCell ref="C1701:E1701"/>
    <mergeCell ref="A1702:B1702"/>
    <mergeCell ref="C1702:E1702"/>
    <mergeCell ref="A1703:B1703"/>
    <mergeCell ref="C1703:E1703"/>
    <mergeCell ref="A1704:B1704"/>
    <mergeCell ref="C1704:E1704"/>
    <mergeCell ref="A1705:B1705"/>
    <mergeCell ref="C1705:E1705"/>
    <mergeCell ref="A1696:B1696"/>
    <mergeCell ref="C1696:E1696"/>
    <mergeCell ref="A1697:B1697"/>
    <mergeCell ref="C1697:E1697"/>
    <mergeCell ref="A1698:B1698"/>
    <mergeCell ref="C1698:E1698"/>
    <mergeCell ref="A1699:B1699"/>
    <mergeCell ref="C1699:E1699"/>
    <mergeCell ref="A1700:B1700"/>
    <mergeCell ref="C1700:E1700"/>
    <mergeCell ref="A1691:B1691"/>
    <mergeCell ref="C1691:E1691"/>
    <mergeCell ref="A1692:B1692"/>
    <mergeCell ref="C1692:E1692"/>
    <mergeCell ref="A1693:B1693"/>
    <mergeCell ref="C1693:E1693"/>
    <mergeCell ref="A1694:B1694"/>
    <mergeCell ref="C1694:E1694"/>
    <mergeCell ref="A1695:B1695"/>
    <mergeCell ref="C1695:E1695"/>
    <mergeCell ref="A1686:B1686"/>
    <mergeCell ref="C1686:E1686"/>
    <mergeCell ref="A1687:B1687"/>
    <mergeCell ref="C1687:E1687"/>
    <mergeCell ref="A1688:B1688"/>
    <mergeCell ref="C1688:E1688"/>
    <mergeCell ref="A1689:B1689"/>
    <mergeCell ref="C1689:E1689"/>
    <mergeCell ref="A1690:B1690"/>
    <mergeCell ref="C1690:E1690"/>
    <mergeCell ref="A1681:B1681"/>
    <mergeCell ref="C1681:E1681"/>
    <mergeCell ref="A1682:B1682"/>
    <mergeCell ref="C1682:E1682"/>
    <mergeCell ref="A1683:B1683"/>
    <mergeCell ref="C1683:E1683"/>
    <mergeCell ref="A1684:B1684"/>
    <mergeCell ref="C1684:E1684"/>
    <mergeCell ref="A1685:B1685"/>
    <mergeCell ref="C1685:E1685"/>
    <mergeCell ref="A1676:B1676"/>
    <mergeCell ref="C1676:E1676"/>
    <mergeCell ref="A1677:B1677"/>
    <mergeCell ref="C1677:E1677"/>
    <mergeCell ref="A1678:B1678"/>
    <mergeCell ref="C1678:E1678"/>
    <mergeCell ref="A1679:B1679"/>
    <mergeCell ref="C1679:E1679"/>
    <mergeCell ref="A1680:B1680"/>
    <mergeCell ref="C1680:E1680"/>
    <mergeCell ref="A1671:B1671"/>
    <mergeCell ref="C1671:E1671"/>
    <mergeCell ref="A1672:B1672"/>
    <mergeCell ref="C1672:E1672"/>
    <mergeCell ref="A1673:B1673"/>
    <mergeCell ref="C1673:E1673"/>
    <mergeCell ref="A1674:B1674"/>
    <mergeCell ref="C1674:E1674"/>
    <mergeCell ref="A1675:B1675"/>
    <mergeCell ref="C1675:E1675"/>
    <mergeCell ref="A1666:B1666"/>
    <mergeCell ref="C1666:E1666"/>
    <mergeCell ref="A1667:B1667"/>
    <mergeCell ref="C1667:E1667"/>
    <mergeCell ref="A1668:B1668"/>
    <mergeCell ref="C1668:E1668"/>
    <mergeCell ref="A1669:B1669"/>
    <mergeCell ref="C1669:E1669"/>
    <mergeCell ref="A1670:B1670"/>
    <mergeCell ref="C1670:E1670"/>
    <mergeCell ref="A1661:B1661"/>
    <mergeCell ref="C1661:E1661"/>
    <mergeCell ref="A1662:B1662"/>
    <mergeCell ref="C1662:E1662"/>
    <mergeCell ref="A1663:B1663"/>
    <mergeCell ref="C1663:E1663"/>
    <mergeCell ref="A1664:B1664"/>
    <mergeCell ref="C1664:E1664"/>
    <mergeCell ref="A1665:B1665"/>
    <mergeCell ref="C1665:E1665"/>
    <mergeCell ref="A1656:B1656"/>
    <mergeCell ref="C1656:E1656"/>
    <mergeCell ref="A1657:B1657"/>
    <mergeCell ref="C1657:E1657"/>
    <mergeCell ref="A1658:B1658"/>
    <mergeCell ref="C1658:E1658"/>
    <mergeCell ref="A1659:B1659"/>
    <mergeCell ref="C1659:E1659"/>
    <mergeCell ref="A1660:B1660"/>
    <mergeCell ref="C1660:E1660"/>
    <mergeCell ref="A1651:B1651"/>
    <mergeCell ref="C1651:E1651"/>
    <mergeCell ref="A1652:B1652"/>
    <mergeCell ref="C1652:E1652"/>
    <mergeCell ref="A1653:B1653"/>
    <mergeCell ref="C1653:E1653"/>
    <mergeCell ref="A1654:B1654"/>
    <mergeCell ref="C1654:E1654"/>
    <mergeCell ref="A1655:B1655"/>
    <mergeCell ref="C1655:E1655"/>
    <mergeCell ref="A1646:B1646"/>
    <mergeCell ref="C1646:E1646"/>
    <mergeCell ref="A1647:B1647"/>
    <mergeCell ref="C1647:E1647"/>
    <mergeCell ref="A1648:B1648"/>
    <mergeCell ref="C1648:E1648"/>
    <mergeCell ref="A1649:B1649"/>
    <mergeCell ref="C1649:E1649"/>
    <mergeCell ref="A1650:B1650"/>
    <mergeCell ref="C1650:E1650"/>
    <mergeCell ref="A1641:B1641"/>
    <mergeCell ref="C1641:E1641"/>
    <mergeCell ref="A1642:B1642"/>
    <mergeCell ref="C1642:E1642"/>
    <mergeCell ref="A1643:B1643"/>
    <mergeCell ref="C1643:E1643"/>
    <mergeCell ref="A1644:B1644"/>
    <mergeCell ref="C1644:E1644"/>
    <mergeCell ref="A1645:B1645"/>
    <mergeCell ref="C1645:E1645"/>
    <mergeCell ref="A1636:B1636"/>
    <mergeCell ref="C1636:E1636"/>
    <mergeCell ref="A1637:B1637"/>
    <mergeCell ref="C1637:E1637"/>
    <mergeCell ref="A1638:B1638"/>
    <mergeCell ref="C1638:E1638"/>
    <mergeCell ref="A1639:B1639"/>
    <mergeCell ref="C1639:E1639"/>
    <mergeCell ref="A1640:B1640"/>
    <mergeCell ref="C1640:E1640"/>
    <mergeCell ref="A1631:B1631"/>
    <mergeCell ref="C1631:E1631"/>
    <mergeCell ref="A1632:B1632"/>
    <mergeCell ref="C1632:E1632"/>
    <mergeCell ref="A1633:B1633"/>
    <mergeCell ref="C1633:E1633"/>
    <mergeCell ref="A1634:B1634"/>
    <mergeCell ref="C1634:E1634"/>
    <mergeCell ref="A1635:B1635"/>
    <mergeCell ref="C1635:E1635"/>
    <mergeCell ref="A1626:B1626"/>
    <mergeCell ref="C1626:E1626"/>
    <mergeCell ref="A1627:B1627"/>
    <mergeCell ref="C1627:E1627"/>
    <mergeCell ref="A1628:B1628"/>
    <mergeCell ref="C1628:E1628"/>
    <mergeCell ref="A1629:B1629"/>
    <mergeCell ref="C1629:E1629"/>
    <mergeCell ref="A1630:B1630"/>
    <mergeCell ref="C1630:E1630"/>
    <mergeCell ref="A1621:B1621"/>
    <mergeCell ref="C1621:E1621"/>
    <mergeCell ref="A1622:B1622"/>
    <mergeCell ref="C1622:E1622"/>
    <mergeCell ref="A1623:B1623"/>
    <mergeCell ref="C1623:E1623"/>
    <mergeCell ref="A1624:B1624"/>
    <mergeCell ref="C1624:E1624"/>
    <mergeCell ref="A1625:B1625"/>
    <mergeCell ref="C1625:E1625"/>
    <mergeCell ref="A1616:B1616"/>
    <mergeCell ref="C1616:E1616"/>
    <mergeCell ref="A1617:B1617"/>
    <mergeCell ref="C1617:E1617"/>
    <mergeCell ref="A1618:B1618"/>
    <mergeCell ref="C1618:E1618"/>
    <mergeCell ref="A1619:B1619"/>
    <mergeCell ref="C1619:E1619"/>
    <mergeCell ref="A1620:B1620"/>
    <mergeCell ref="C1620:E1620"/>
    <mergeCell ref="A1611:B1611"/>
    <mergeCell ref="C1611:E1611"/>
    <mergeCell ref="A1612:B1612"/>
    <mergeCell ref="C1612:E1612"/>
    <mergeCell ref="A1613:B1613"/>
    <mergeCell ref="C1613:E1613"/>
    <mergeCell ref="A1614:B1614"/>
    <mergeCell ref="C1614:E1614"/>
    <mergeCell ref="A1615:B1615"/>
    <mergeCell ref="C1615:E1615"/>
    <mergeCell ref="A1606:B1606"/>
    <mergeCell ref="C1606:E1606"/>
    <mergeCell ref="A1607:B1607"/>
    <mergeCell ref="C1607:E1607"/>
    <mergeCell ref="A1608:B1608"/>
    <mergeCell ref="C1608:E1608"/>
    <mergeCell ref="A1609:B1609"/>
    <mergeCell ref="C1609:E1609"/>
    <mergeCell ref="A1610:B1610"/>
    <mergeCell ref="C1610:E1610"/>
    <mergeCell ref="A1601:B1601"/>
    <mergeCell ref="C1601:E1601"/>
    <mergeCell ref="A1602:B1602"/>
    <mergeCell ref="C1602:E1602"/>
    <mergeCell ref="A1603:B1603"/>
    <mergeCell ref="C1603:E1603"/>
    <mergeCell ref="A1604:B1604"/>
    <mergeCell ref="C1604:E1604"/>
    <mergeCell ref="A1605:B1605"/>
    <mergeCell ref="C1605:E1605"/>
    <mergeCell ref="A1596:B1596"/>
    <mergeCell ref="C1596:E1596"/>
    <mergeCell ref="A1597:B1597"/>
    <mergeCell ref="C1597:E1597"/>
    <mergeCell ref="A1598:B1598"/>
    <mergeCell ref="C1598:E1598"/>
    <mergeCell ref="A1599:B1599"/>
    <mergeCell ref="C1599:E1599"/>
    <mergeCell ref="A1600:B1600"/>
    <mergeCell ref="C1600:E1600"/>
    <mergeCell ref="A1591:B1591"/>
    <mergeCell ref="C1591:E1591"/>
    <mergeCell ref="A1592:B1592"/>
    <mergeCell ref="C1592:E1592"/>
    <mergeCell ref="A1593:B1593"/>
    <mergeCell ref="C1593:E1593"/>
    <mergeCell ref="A1594:B1594"/>
    <mergeCell ref="C1594:E1594"/>
    <mergeCell ref="A1595:B1595"/>
    <mergeCell ref="C1595:E1595"/>
    <mergeCell ref="A1586:B1586"/>
    <mergeCell ref="C1586:E1586"/>
    <mergeCell ref="A1587:B1587"/>
    <mergeCell ref="C1587:E1587"/>
    <mergeCell ref="A1588:B1588"/>
    <mergeCell ref="C1588:E1588"/>
    <mergeCell ref="A1589:B1589"/>
    <mergeCell ref="C1589:E1589"/>
    <mergeCell ref="A1590:B1590"/>
    <mergeCell ref="C1590:E1590"/>
    <mergeCell ref="A1581:B1581"/>
    <mergeCell ref="C1581:E1581"/>
    <mergeCell ref="A1582:B1582"/>
    <mergeCell ref="C1582:E1582"/>
    <mergeCell ref="A1583:B1583"/>
    <mergeCell ref="C1583:E1583"/>
    <mergeCell ref="A1584:B1584"/>
    <mergeCell ref="C1584:E1584"/>
    <mergeCell ref="A1585:B1585"/>
    <mergeCell ref="C1585:E1585"/>
    <mergeCell ref="A1576:B1576"/>
    <mergeCell ref="C1576:E1576"/>
    <mergeCell ref="A1577:B1577"/>
    <mergeCell ref="C1577:E1577"/>
    <mergeCell ref="A1578:B1578"/>
    <mergeCell ref="C1578:E1578"/>
    <mergeCell ref="A1579:B1579"/>
    <mergeCell ref="C1579:E1579"/>
    <mergeCell ref="A1580:B1580"/>
    <mergeCell ref="C1580:E1580"/>
    <mergeCell ref="A1571:B1571"/>
    <mergeCell ref="C1571:E1571"/>
    <mergeCell ref="A1572:B1572"/>
    <mergeCell ref="C1572:E1572"/>
    <mergeCell ref="A1573:B1573"/>
    <mergeCell ref="C1573:E1573"/>
    <mergeCell ref="A1574:B1574"/>
    <mergeCell ref="C1574:E1574"/>
    <mergeCell ref="A1575:B1575"/>
    <mergeCell ref="C1575:E1575"/>
    <mergeCell ref="A1566:B1566"/>
    <mergeCell ref="C1566:E1566"/>
    <mergeCell ref="A1567:B1567"/>
    <mergeCell ref="C1567:E1567"/>
    <mergeCell ref="A1568:B1568"/>
    <mergeCell ref="C1568:E1568"/>
    <mergeCell ref="A1569:B1569"/>
    <mergeCell ref="C1569:E1569"/>
    <mergeCell ref="A1570:B1570"/>
    <mergeCell ref="C1570:E1570"/>
    <mergeCell ref="A1561:B1561"/>
    <mergeCell ref="C1561:E1561"/>
    <mergeCell ref="A1562:B1562"/>
    <mergeCell ref="C1562:E1562"/>
    <mergeCell ref="A1563:B1563"/>
    <mergeCell ref="C1563:E1563"/>
    <mergeCell ref="A1564:B1564"/>
    <mergeCell ref="C1564:E1564"/>
    <mergeCell ref="A1565:B1565"/>
    <mergeCell ref="C1565:E1565"/>
    <mergeCell ref="A1556:B1556"/>
    <mergeCell ref="C1556:E1556"/>
    <mergeCell ref="A1557:B1557"/>
    <mergeCell ref="C1557:E1557"/>
    <mergeCell ref="A1558:B1558"/>
    <mergeCell ref="C1558:E1558"/>
    <mergeCell ref="A1559:B1559"/>
    <mergeCell ref="C1559:E1559"/>
    <mergeCell ref="A1560:B1560"/>
    <mergeCell ref="C1560:E1560"/>
    <mergeCell ref="A1551:B1551"/>
    <mergeCell ref="C1551:E1551"/>
    <mergeCell ref="A1552:B1552"/>
    <mergeCell ref="C1552:E1552"/>
    <mergeCell ref="A1553:B1553"/>
    <mergeCell ref="C1553:E1553"/>
    <mergeCell ref="A1554:B1554"/>
    <mergeCell ref="C1554:E1554"/>
    <mergeCell ref="A1555:B1555"/>
    <mergeCell ref="C1555:E1555"/>
    <mergeCell ref="A1546:B1546"/>
    <mergeCell ref="C1546:E1546"/>
    <mergeCell ref="A1547:B1547"/>
    <mergeCell ref="C1547:E1547"/>
    <mergeCell ref="A1548:B1548"/>
    <mergeCell ref="C1548:E1548"/>
    <mergeCell ref="A1549:B1549"/>
    <mergeCell ref="C1549:E1549"/>
    <mergeCell ref="A1550:B1550"/>
    <mergeCell ref="C1550:E1550"/>
    <mergeCell ref="A1541:B1541"/>
    <mergeCell ref="C1541:E1541"/>
    <mergeCell ref="A1542:B1542"/>
    <mergeCell ref="C1542:E1542"/>
    <mergeCell ref="A1543:B1543"/>
    <mergeCell ref="C1543:E1543"/>
    <mergeCell ref="A1544:B1544"/>
    <mergeCell ref="C1544:E1544"/>
    <mergeCell ref="A1545:B1545"/>
    <mergeCell ref="C1545:E1545"/>
    <mergeCell ref="A1536:B1536"/>
    <mergeCell ref="C1536:E1536"/>
    <mergeCell ref="A1537:B1537"/>
    <mergeCell ref="C1537:E1537"/>
    <mergeCell ref="A1538:B1538"/>
    <mergeCell ref="C1538:E1538"/>
    <mergeCell ref="A1539:B1539"/>
    <mergeCell ref="C1539:E1539"/>
    <mergeCell ref="A1540:B1540"/>
    <mergeCell ref="C1540:E1540"/>
    <mergeCell ref="A1531:B1531"/>
    <mergeCell ref="C1531:E1531"/>
    <mergeCell ref="A1532:B1532"/>
    <mergeCell ref="C1532:E1532"/>
    <mergeCell ref="A1533:B1533"/>
    <mergeCell ref="C1533:E1533"/>
    <mergeCell ref="A1534:B1534"/>
    <mergeCell ref="C1534:E1534"/>
    <mergeCell ref="A1535:B1535"/>
    <mergeCell ref="C1535:E1535"/>
    <mergeCell ref="A1526:B1526"/>
    <mergeCell ref="C1526:E1526"/>
    <mergeCell ref="A1527:B1527"/>
    <mergeCell ref="C1527:E1527"/>
    <mergeCell ref="A1528:B1528"/>
    <mergeCell ref="C1528:E1528"/>
    <mergeCell ref="A1529:B1529"/>
    <mergeCell ref="C1529:E1529"/>
    <mergeCell ref="A1530:B1530"/>
    <mergeCell ref="C1530:E1530"/>
    <mergeCell ref="A1521:B1521"/>
    <mergeCell ref="C1521:E1521"/>
    <mergeCell ref="A1522:B1522"/>
    <mergeCell ref="C1522:E1522"/>
    <mergeCell ref="A1523:B1523"/>
    <mergeCell ref="C1523:E1523"/>
    <mergeCell ref="A1524:B1524"/>
    <mergeCell ref="C1524:E1524"/>
    <mergeCell ref="A1525:B1525"/>
    <mergeCell ref="C1525:E1525"/>
    <mergeCell ref="A1516:B1516"/>
    <mergeCell ref="C1516:E1516"/>
    <mergeCell ref="A1517:B1517"/>
    <mergeCell ref="C1517:E1517"/>
    <mergeCell ref="A1518:B1518"/>
    <mergeCell ref="C1518:E1518"/>
    <mergeCell ref="A1519:B1519"/>
    <mergeCell ref="C1519:E1519"/>
    <mergeCell ref="A1520:B1520"/>
    <mergeCell ref="C1520:E1520"/>
    <mergeCell ref="A1511:B1511"/>
    <mergeCell ref="C1511:E1511"/>
    <mergeCell ref="A1512:B1512"/>
    <mergeCell ref="C1512:E1512"/>
    <mergeCell ref="A1513:B1513"/>
    <mergeCell ref="C1513:E1513"/>
    <mergeCell ref="A1514:B1514"/>
    <mergeCell ref="C1514:E1514"/>
    <mergeCell ref="A1515:B1515"/>
    <mergeCell ref="C1515:E1515"/>
    <mergeCell ref="A1506:B1506"/>
    <mergeCell ref="C1506:E1506"/>
    <mergeCell ref="A1507:B1507"/>
    <mergeCell ref="C1507:E1507"/>
    <mergeCell ref="A1508:B1508"/>
    <mergeCell ref="C1508:E1508"/>
    <mergeCell ref="A1509:B1509"/>
    <mergeCell ref="C1509:E1509"/>
    <mergeCell ref="A1510:B1510"/>
    <mergeCell ref="C1510:E1510"/>
    <mergeCell ref="A1501:B1501"/>
    <mergeCell ref="C1501:E1501"/>
    <mergeCell ref="A1502:B1502"/>
    <mergeCell ref="C1502:E1502"/>
    <mergeCell ref="A1503:B1503"/>
    <mergeCell ref="C1503:E1503"/>
    <mergeCell ref="A1504:B1504"/>
    <mergeCell ref="C1504:E1504"/>
    <mergeCell ref="A1505:B1505"/>
    <mergeCell ref="C1505:E1505"/>
    <mergeCell ref="A1496:B1496"/>
    <mergeCell ref="C1496:E1496"/>
    <mergeCell ref="A1497:B1497"/>
    <mergeCell ref="C1497:E1497"/>
    <mergeCell ref="A1498:B1498"/>
    <mergeCell ref="C1498:E1498"/>
    <mergeCell ref="A1499:B1499"/>
    <mergeCell ref="C1499:E1499"/>
    <mergeCell ref="A1500:B1500"/>
    <mergeCell ref="C1500:E1500"/>
    <mergeCell ref="A1491:B1491"/>
    <mergeCell ref="C1491:E1491"/>
    <mergeCell ref="A1492:B1492"/>
    <mergeCell ref="C1492:E1492"/>
    <mergeCell ref="A1493:B1493"/>
    <mergeCell ref="C1493:E1493"/>
    <mergeCell ref="A1494:B1494"/>
    <mergeCell ref="C1494:E1494"/>
    <mergeCell ref="A1495:B1495"/>
    <mergeCell ref="C1495:E1495"/>
    <mergeCell ref="A1486:B1486"/>
    <mergeCell ref="C1486:E1486"/>
    <mergeCell ref="A1487:B1487"/>
    <mergeCell ref="C1487:E1487"/>
    <mergeCell ref="A1488:B1488"/>
    <mergeCell ref="C1488:E1488"/>
    <mergeCell ref="A1489:B1489"/>
    <mergeCell ref="C1489:E1489"/>
    <mergeCell ref="A1490:B1490"/>
    <mergeCell ref="C1490:E1490"/>
    <mergeCell ref="A1481:B1481"/>
    <mergeCell ref="C1481:E1481"/>
    <mergeCell ref="A1482:B1482"/>
    <mergeCell ref="C1482:E1482"/>
    <mergeCell ref="A1483:B1483"/>
    <mergeCell ref="C1483:E1483"/>
    <mergeCell ref="A1484:B1484"/>
    <mergeCell ref="C1484:E1484"/>
    <mergeCell ref="A1485:B1485"/>
    <mergeCell ref="C1485:E1485"/>
    <mergeCell ref="A1476:B1476"/>
    <mergeCell ref="C1476:E1476"/>
    <mergeCell ref="A1477:B1477"/>
    <mergeCell ref="C1477:E1477"/>
    <mergeCell ref="A1478:B1478"/>
    <mergeCell ref="C1478:E1478"/>
    <mergeCell ref="A1479:B1479"/>
    <mergeCell ref="C1479:E1479"/>
    <mergeCell ref="A1480:B1480"/>
    <mergeCell ref="C1480:E1480"/>
    <mergeCell ref="A1471:B1471"/>
    <mergeCell ref="C1471:E1471"/>
    <mergeCell ref="A1472:B1472"/>
    <mergeCell ref="C1472:E1472"/>
    <mergeCell ref="A1473:B1473"/>
    <mergeCell ref="C1473:E1473"/>
    <mergeCell ref="A1474:B1474"/>
    <mergeCell ref="C1474:E1474"/>
    <mergeCell ref="A1475:B1475"/>
    <mergeCell ref="C1475:E1475"/>
    <mergeCell ref="A1466:B1466"/>
    <mergeCell ref="C1466:E1466"/>
    <mergeCell ref="A1467:B1467"/>
    <mergeCell ref="C1467:E1467"/>
    <mergeCell ref="A1468:B1468"/>
    <mergeCell ref="C1468:E1468"/>
    <mergeCell ref="A1469:B1469"/>
    <mergeCell ref="C1469:E1469"/>
    <mergeCell ref="A1470:B1470"/>
    <mergeCell ref="C1470:E1470"/>
    <mergeCell ref="A1461:B1461"/>
    <mergeCell ref="C1461:E1461"/>
    <mergeCell ref="A1462:B1462"/>
    <mergeCell ref="C1462:E1462"/>
    <mergeCell ref="A1463:B1463"/>
    <mergeCell ref="C1463:E1463"/>
    <mergeCell ref="A1464:B1464"/>
    <mergeCell ref="C1464:E1464"/>
    <mergeCell ref="A1465:B1465"/>
    <mergeCell ref="C1465:E1465"/>
    <mergeCell ref="A1456:B1456"/>
    <mergeCell ref="C1456:E1456"/>
    <mergeCell ref="A1457:B1457"/>
    <mergeCell ref="C1457:E1457"/>
    <mergeCell ref="A1458:B1458"/>
    <mergeCell ref="C1458:E1458"/>
    <mergeCell ref="A1459:B1459"/>
    <mergeCell ref="C1459:E1459"/>
    <mergeCell ref="A1460:B1460"/>
    <mergeCell ref="C1460:E1460"/>
    <mergeCell ref="A1451:B1451"/>
    <mergeCell ref="C1451:E1451"/>
    <mergeCell ref="A1452:B1452"/>
    <mergeCell ref="C1452:E1452"/>
    <mergeCell ref="A1453:B1453"/>
    <mergeCell ref="C1453:E1453"/>
    <mergeCell ref="A1454:B1454"/>
    <mergeCell ref="C1454:E1454"/>
    <mergeCell ref="A1455:B1455"/>
    <mergeCell ref="C1455:E1455"/>
    <mergeCell ref="A1446:B1446"/>
    <mergeCell ref="C1446:E1446"/>
    <mergeCell ref="A1447:B1447"/>
    <mergeCell ref="C1447:E1447"/>
    <mergeCell ref="A1448:B1448"/>
    <mergeCell ref="C1448:E1448"/>
    <mergeCell ref="A1449:B1449"/>
    <mergeCell ref="C1449:E1449"/>
    <mergeCell ref="A1450:B1450"/>
    <mergeCell ref="C1450:E1450"/>
    <mergeCell ref="A1441:B1441"/>
    <mergeCell ref="C1441:E1441"/>
    <mergeCell ref="A1442:B1442"/>
    <mergeCell ref="C1442:E1442"/>
    <mergeCell ref="A1443:B1443"/>
    <mergeCell ref="C1443:E1443"/>
    <mergeCell ref="A1444:B1444"/>
    <mergeCell ref="C1444:E1444"/>
    <mergeCell ref="A1445:B1445"/>
    <mergeCell ref="C1445:E1445"/>
    <mergeCell ref="A1:E1"/>
    <mergeCell ref="F1:I5"/>
    <mergeCell ref="J1:O1"/>
    <mergeCell ref="A2:E2"/>
    <mergeCell ref="J2:O5"/>
    <mergeCell ref="A3:E3"/>
    <mergeCell ref="A4:E4"/>
    <mergeCell ref="A5:E5"/>
    <mergeCell ref="A1439:B1439"/>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2023-10-30T22:18:10Z</dcterms:modified>
</cp:coreProperties>
</file>